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5\"/>
    </mc:Choice>
  </mc:AlternateContent>
  <xr:revisionPtr revIDLastSave="0" documentId="13_ncr:1_{B791887B-A9CF-48F7-B598-7BD3923E81AA}" xr6:coauthVersionLast="47" xr6:coauthVersionMax="47" xr10:uidLastSave="{00000000-0000-0000-0000-000000000000}"/>
  <bookViews>
    <workbookView xWindow="-120" yWindow="-120" windowWidth="19440" windowHeight="14880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INDIV PAYROLL" sheetId="128" state="hidden" r:id="rId25"/>
    <sheet name="642 FF RATES" sheetId="131" r:id="rId26"/>
    <sheet name="642 2% Longevity Rate Chart" sheetId="159" state="hidden" r:id="rId27"/>
    <sheet name="642 LONGEVITY" sheetId="155" state="hidden" r:id="rId28"/>
    <sheet name="642 CERT PAY RATES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05" l="1"/>
  <c r="F53" i="105"/>
  <c r="O28" i="153"/>
  <c r="P7" i="141" l="1"/>
  <c r="P4" i="141"/>
  <c r="O6" i="153" l="1"/>
  <c r="O11" i="153"/>
  <c r="O5" i="120" l="1"/>
  <c r="O20" i="74"/>
  <c r="O33" i="100"/>
  <c r="O15" i="95" l="1"/>
  <c r="O17" i="75" l="1"/>
  <c r="P10" i="153" l="1"/>
  <c r="N4" i="120" l="1"/>
  <c r="O4" i="120" s="1"/>
  <c r="O5" i="118"/>
  <c r="O26" i="116" l="1"/>
  <c r="O22" i="116"/>
  <c r="O11" i="116"/>
  <c r="O16" i="75"/>
  <c r="O14" i="16" l="1"/>
  <c r="O13" i="16"/>
  <c r="O12" i="16"/>
  <c r="O11" i="16"/>
  <c r="O10" i="16"/>
  <c r="O5" i="16"/>
  <c r="O6" i="16"/>
  <c r="O7" i="16"/>
  <c r="O8" i="16"/>
  <c r="O9" i="16"/>
  <c r="O9" i="80"/>
  <c r="O11" i="132"/>
  <c r="O21" i="153"/>
  <c r="O20" i="153"/>
  <c r="O5" i="147"/>
  <c r="O29" i="125"/>
  <c r="O22" i="126"/>
  <c r="O21" i="126"/>
  <c r="O19" i="126"/>
  <c r="O18" i="126"/>
  <c r="O6" i="126"/>
  <c r="O15" i="126"/>
  <c r="O17" i="126"/>
  <c r="O9" i="126"/>
  <c r="O33" i="69"/>
  <c r="O5" i="112"/>
  <c r="O28" i="116"/>
  <c r="O21" i="100"/>
  <c r="P20" i="141"/>
  <c r="O22" i="88" l="1"/>
  <c r="O29" i="116" l="1"/>
  <c r="O19" i="65" l="1"/>
  <c r="O13" i="65"/>
  <c r="O10" i="65"/>
  <c r="O9" i="65"/>
  <c r="O8" i="65"/>
  <c r="O7" i="65"/>
  <c r="O5" i="15" l="1"/>
  <c r="D11" i="105" l="1"/>
  <c r="N24" i="69"/>
  <c r="O7" i="141"/>
  <c r="O9" i="90" l="1"/>
  <c r="O5" i="79"/>
  <c r="O23" i="79" s="1"/>
  <c r="F40" i="105" s="1"/>
  <c r="F50" i="105"/>
  <c r="F49" i="105"/>
  <c r="F45" i="105"/>
  <c r="F44" i="105"/>
  <c r="F43" i="105"/>
  <c r="F24" i="105"/>
  <c r="F8" i="105"/>
  <c r="F6" i="105"/>
  <c r="F5" i="105"/>
  <c r="F4" i="105"/>
  <c r="F3" i="105"/>
  <c r="F2" i="105"/>
  <c r="O6" i="102"/>
  <c r="O16" i="102"/>
  <c r="F52" i="105" s="1"/>
  <c r="O17" i="134"/>
  <c r="F51" i="105" s="1"/>
  <c r="O13" i="137"/>
  <c r="O6" i="101"/>
  <c r="O11" i="101"/>
  <c r="O15" i="90"/>
  <c r="F48" i="105" s="1"/>
  <c r="O17" i="16"/>
  <c r="F47" i="105" s="1"/>
  <c r="O4" i="15"/>
  <c r="O12" i="15" s="1"/>
  <c r="F46" i="105" s="1"/>
  <c r="O8" i="15"/>
  <c r="O7" i="83"/>
  <c r="O13" i="83"/>
  <c r="O9" i="85"/>
  <c r="O15" i="85"/>
  <c r="M14" i="135"/>
  <c r="N14" i="135"/>
  <c r="O14" i="135"/>
  <c r="O16" i="135"/>
  <c r="O11" i="86"/>
  <c r="F42" i="105" s="1"/>
  <c r="O6" i="88"/>
  <c r="O8" i="88"/>
  <c r="O9" i="88"/>
  <c r="O27" i="88"/>
  <c r="O29" i="88"/>
  <c r="F41" i="105" s="1"/>
  <c r="O16" i="79"/>
  <c r="O13" i="80"/>
  <c r="F39" i="105" s="1"/>
  <c r="O19" i="75"/>
  <c r="F38" i="105" s="1"/>
  <c r="O8" i="77"/>
  <c r="O18" i="77"/>
  <c r="F37" i="105" s="1"/>
  <c r="O14" i="74"/>
  <c r="O18" i="136"/>
  <c r="F35" i="105" s="1"/>
  <c r="O12" i="132"/>
  <c r="O17" i="132"/>
  <c r="O22" i="132"/>
  <c r="F34" i="105" s="1"/>
  <c r="O14" i="133"/>
  <c r="F33" i="105" s="1"/>
  <c r="P21" i="153"/>
  <c r="P6" i="153"/>
  <c r="O5" i="153"/>
  <c r="O22" i="153"/>
  <c r="O10" i="147"/>
  <c r="F30" i="105" s="1"/>
  <c r="O19" i="140"/>
  <c r="F29" i="105" s="1"/>
  <c r="O24" i="125"/>
  <c r="O27" i="125"/>
  <c r="O33" i="125"/>
  <c r="F28" i="105" s="1"/>
  <c r="O24" i="126"/>
  <c r="F27" i="105" s="1"/>
  <c r="O43" i="69"/>
  <c r="F26" i="105" s="1"/>
  <c r="O8" i="112"/>
  <c r="F25" i="105" s="1"/>
  <c r="O10" i="122"/>
  <c r="O14" i="123"/>
  <c r="F23" i="105" s="1"/>
  <c r="O5" i="116"/>
  <c r="O32" i="116" s="1"/>
  <c r="O6" i="115" s="1"/>
  <c r="O10" i="115" s="1"/>
  <c r="F22" i="105" s="1"/>
  <c r="O5" i="115"/>
  <c r="O35" i="100"/>
  <c r="F21" i="105" s="1"/>
  <c r="O28" i="95"/>
  <c r="F20" i="105" s="1"/>
  <c r="O5" i="67"/>
  <c r="O10" i="67"/>
  <c r="O11" i="67"/>
  <c r="O25" i="67" s="1"/>
  <c r="F19" i="105" s="1"/>
  <c r="O12" i="67"/>
  <c r="O13" i="67"/>
  <c r="O16" i="67"/>
  <c r="O18" i="67"/>
  <c r="O9" i="113"/>
  <c r="F18" i="105" s="1"/>
  <c r="O6" i="65"/>
  <c r="O22" i="65" s="1"/>
  <c r="F17" i="105" s="1"/>
  <c r="O17" i="65"/>
  <c r="O18" i="65"/>
  <c r="O5" i="119"/>
  <c r="O10" i="119" s="1"/>
  <c r="F14" i="105" s="1"/>
  <c r="O10" i="120"/>
  <c r="F13" i="105" s="1"/>
  <c r="Q17" i="141"/>
  <c r="F9" i="105" s="1"/>
  <c r="Q15" i="141"/>
  <c r="Q11" i="141"/>
  <c r="Q8" i="141"/>
  <c r="P24" i="141"/>
  <c r="R16" i="141" s="1"/>
  <c r="P8" i="141"/>
  <c r="P9" i="141"/>
  <c r="D53" i="105"/>
  <c r="D56" i="105" s="1"/>
  <c r="O51" i="74" l="1"/>
  <c r="F36" i="105" s="1"/>
  <c r="R8" i="141"/>
  <c r="R17" i="141"/>
  <c r="R15" i="141"/>
  <c r="R9" i="141"/>
  <c r="R11" i="141"/>
  <c r="R18" i="141"/>
  <c r="R12" i="141"/>
  <c r="R19" i="141"/>
  <c r="R7" i="141"/>
  <c r="R3" i="141"/>
  <c r="R4" i="141"/>
  <c r="R13" i="141"/>
  <c r="R20" i="141"/>
  <c r="R21" i="141"/>
  <c r="O4" i="141"/>
  <c r="N5" i="15"/>
  <c r="N5" i="120" l="1"/>
  <c r="N6" i="102"/>
  <c r="N14" i="16"/>
  <c r="N13" i="16"/>
  <c r="N12" i="16"/>
  <c r="N11" i="16"/>
  <c r="N10" i="16"/>
  <c r="N9" i="16"/>
  <c r="N8" i="16"/>
  <c r="N7" i="16"/>
  <c r="N6" i="16"/>
  <c r="N5" i="16"/>
  <c r="N27" i="88"/>
  <c r="N9" i="88"/>
  <c r="N8" i="88"/>
  <c r="N22" i="88"/>
  <c r="N16" i="79"/>
  <c r="N5" i="79"/>
  <c r="N14" i="74"/>
  <c r="N20" i="153"/>
  <c r="N5" i="116"/>
  <c r="N28" i="116"/>
  <c r="N11" i="65"/>
  <c r="N14" i="65"/>
  <c r="N18" i="67" l="1"/>
  <c r="N24" i="125"/>
  <c r="N21" i="100"/>
  <c r="N22" i="153"/>
  <c r="N11" i="153"/>
  <c r="N5" i="153"/>
  <c r="N6" i="101"/>
  <c r="N9" i="90"/>
  <c r="N8" i="15"/>
  <c r="N4" i="15"/>
  <c r="N9" i="85"/>
  <c r="N6" i="88"/>
  <c r="N8" i="77"/>
  <c r="N11" i="132"/>
  <c r="N12" i="132"/>
  <c r="N8" i="65"/>
  <c r="N7" i="65"/>
  <c r="N22" i="126"/>
  <c r="N21" i="126"/>
  <c r="N19" i="126"/>
  <c r="N6" i="126"/>
  <c r="N18" i="126"/>
  <c r="N9" i="126"/>
  <c r="N5" i="112"/>
  <c r="N16" i="67"/>
  <c r="N13" i="67"/>
  <c r="N12" i="67"/>
  <c r="N11" i="67"/>
  <c r="N10" i="67"/>
  <c r="N5" i="67"/>
  <c r="N19" i="65"/>
  <c r="N13" i="65"/>
  <c r="N9" i="65"/>
  <c r="N6" i="65"/>
  <c r="O20" i="141"/>
  <c r="O8" i="141"/>
  <c r="M19" i="8" l="1"/>
  <c r="N16" i="102"/>
  <c r="N17" i="134"/>
  <c r="N13" i="137"/>
  <c r="N11" i="101"/>
  <c r="N15" i="90"/>
  <c r="N17" i="16"/>
  <c r="N12" i="15"/>
  <c r="N7" i="83"/>
  <c r="N13" i="83"/>
  <c r="N15" i="85"/>
  <c r="N16" i="135"/>
  <c r="N11" i="86"/>
  <c r="N29" i="88"/>
  <c r="N18" i="79"/>
  <c r="N23" i="79"/>
  <c r="N13" i="80"/>
  <c r="N7" i="75"/>
  <c r="N19" i="75" s="1"/>
  <c r="N18" i="77"/>
  <c r="N51" i="74"/>
  <c r="N18" i="136"/>
  <c r="N17" i="132"/>
  <c r="N22" i="132"/>
  <c r="N14" i="133"/>
  <c r="N6" i="153"/>
  <c r="N21" i="153"/>
  <c r="N5" i="147"/>
  <c r="N10" i="147" s="1"/>
  <c r="N19" i="140"/>
  <c r="N27" i="125"/>
  <c r="N33" i="125"/>
  <c r="N24" i="126"/>
  <c r="N33" i="69"/>
  <c r="N39" i="69"/>
  <c r="N43" i="69"/>
  <c r="N8" i="112"/>
  <c r="N10" i="122"/>
  <c r="N14" i="123"/>
  <c r="N32" i="116"/>
  <c r="N35" i="100"/>
  <c r="N28" i="95"/>
  <c r="N25" i="67"/>
  <c r="N9" i="113"/>
  <c r="N10" i="65"/>
  <c r="N22" i="65" s="1"/>
  <c r="N17" i="65"/>
  <c r="N18" i="65"/>
  <c r="N5" i="119"/>
  <c r="N10" i="119" s="1"/>
  <c r="M5" i="119"/>
  <c r="N10" i="120"/>
  <c r="N20" i="141"/>
  <c r="N18" i="141"/>
  <c r="N16" i="141"/>
  <c r="N13" i="141"/>
  <c r="N12" i="141"/>
  <c r="N11" i="141"/>
  <c r="N9" i="141"/>
  <c r="N8" i="141"/>
  <c r="N7" i="141"/>
  <c r="N4" i="141"/>
  <c r="N24" i="141" s="1"/>
  <c r="M9" i="88" l="1"/>
  <c r="M12" i="132"/>
  <c r="M11" i="132"/>
  <c r="M9" i="133"/>
  <c r="C17" i="144"/>
  <c r="B17" i="144"/>
  <c r="M26" i="116" l="1"/>
  <c r="M5" i="120" l="1"/>
  <c r="M11" i="65" l="1"/>
  <c r="M27" i="116"/>
  <c r="M12" i="116" l="1"/>
  <c r="M12" i="123"/>
  <c r="M6" i="65"/>
  <c r="M5" i="15" l="1"/>
  <c r="K13" i="8"/>
  <c r="M10" i="102"/>
  <c r="M8" i="102"/>
  <c r="M6" i="102"/>
  <c r="M9" i="90"/>
  <c r="M8" i="15"/>
  <c r="M6" i="85"/>
  <c r="M16" i="135"/>
  <c r="M27" i="88"/>
  <c r="M22" i="88"/>
  <c r="M8" i="88"/>
  <c r="M6" i="88"/>
  <c r="M8" i="77"/>
  <c r="M14" i="74"/>
  <c r="M17" i="132"/>
  <c r="O18" i="141" l="1"/>
  <c r="M27" i="125"/>
  <c r="M24" i="125"/>
  <c r="M21" i="126"/>
  <c r="M22" i="126"/>
  <c r="M19" i="126"/>
  <c r="M6" i="126"/>
  <c r="M39" i="69"/>
  <c r="M33" i="69"/>
  <c r="M6" i="113"/>
  <c r="M8" i="65"/>
  <c r="M7" i="65"/>
  <c r="M18" i="79" l="1"/>
  <c r="M16" i="102" l="1"/>
  <c r="M17" i="134"/>
  <c r="M13" i="137"/>
  <c r="M6" i="101"/>
  <c r="M11" i="101" s="1"/>
  <c r="M15" i="90"/>
  <c r="M5" i="16"/>
  <c r="M6" i="16"/>
  <c r="M7" i="16"/>
  <c r="M8" i="16"/>
  <c r="M9" i="16"/>
  <c r="M10" i="16"/>
  <c r="M11" i="16"/>
  <c r="M12" i="16"/>
  <c r="M13" i="16"/>
  <c r="M14" i="16"/>
  <c r="M4" i="15"/>
  <c r="M12" i="15" s="1"/>
  <c r="M7" i="83"/>
  <c r="M13" i="83" s="1"/>
  <c r="M9" i="85"/>
  <c r="M15" i="85" s="1"/>
  <c r="M11" i="86"/>
  <c r="M29" i="88"/>
  <c r="M5" i="79"/>
  <c r="M16" i="79"/>
  <c r="M13" i="80"/>
  <c r="M7" i="75"/>
  <c r="M19" i="75" s="1"/>
  <c r="M15" i="75"/>
  <c r="M18" i="77"/>
  <c r="M51" i="74"/>
  <c r="M18" i="136"/>
  <c r="M22" i="132"/>
  <c r="M14" i="133"/>
  <c r="M11" i="153"/>
  <c r="M21" i="153"/>
  <c r="M22" i="153"/>
  <c r="L5" i="147"/>
  <c r="K5" i="147"/>
  <c r="M5" i="147"/>
  <c r="M10" i="147" s="1"/>
  <c r="M19" i="140"/>
  <c r="M33" i="125"/>
  <c r="M9" i="126"/>
  <c r="M24" i="126" s="1"/>
  <c r="M18" i="126"/>
  <c r="M43" i="69"/>
  <c r="M10" i="122"/>
  <c r="M14" i="123"/>
  <c r="M5" i="116"/>
  <c r="M32" i="116"/>
  <c r="M6" i="115" s="1"/>
  <c r="M35" i="100"/>
  <c r="M24" i="95"/>
  <c r="M28" i="95" s="1"/>
  <c r="M5" i="67"/>
  <c r="M10" i="67"/>
  <c r="M25" i="67" s="1"/>
  <c r="M11" i="67"/>
  <c r="M12" i="67"/>
  <c r="M13" i="67"/>
  <c r="M16" i="67"/>
  <c r="M9" i="113"/>
  <c r="M9" i="65"/>
  <c r="M10" i="65"/>
  <c r="M13" i="65"/>
  <c r="M14" i="65"/>
  <c r="M17" i="65"/>
  <c r="M18" i="65"/>
  <c r="M19" i="65"/>
  <c r="L19" i="8"/>
  <c r="M10" i="119"/>
  <c r="M4" i="120"/>
  <c r="M10" i="120" s="1"/>
  <c r="O9" i="141"/>
  <c r="O24" i="141" l="1"/>
  <c r="M17" i="16"/>
  <c r="M22" i="65"/>
  <c r="A75" i="159" l="1"/>
  <c r="A40" i="159"/>
  <c r="M7" i="141" l="1"/>
  <c r="M4" i="141"/>
  <c r="B34" i="159"/>
  <c r="B30" i="159"/>
  <c r="B26" i="159"/>
  <c r="B23" i="159"/>
  <c r="B22" i="159"/>
  <c r="C22" i="159" s="1"/>
  <c r="B18" i="159"/>
  <c r="B19" i="159" s="1"/>
  <c r="B14" i="159"/>
  <c r="C10" i="159"/>
  <c r="C12" i="159" s="1"/>
  <c r="B10" i="159"/>
  <c r="B11" i="159" s="1"/>
  <c r="B6" i="159"/>
  <c r="C6" i="159" s="1"/>
  <c r="D5" i="159"/>
  <c r="E5" i="159" s="1"/>
  <c r="F5" i="159" s="1"/>
  <c r="G5" i="159" s="1"/>
  <c r="H5" i="159" s="1"/>
  <c r="I5" i="159" s="1"/>
  <c r="J5" i="159" s="1"/>
  <c r="K5" i="159" s="1"/>
  <c r="L5" i="159" s="1"/>
  <c r="M5" i="159" s="1"/>
  <c r="N5" i="159" s="1"/>
  <c r="O5" i="159" s="1"/>
  <c r="P5" i="159" s="1"/>
  <c r="Q5" i="159" s="1"/>
  <c r="B40" i="159" s="1"/>
  <c r="C40" i="159" s="1"/>
  <c r="D40" i="159" s="1"/>
  <c r="E40" i="159" s="1"/>
  <c r="F40" i="159" s="1"/>
  <c r="G40" i="159" s="1"/>
  <c r="H40" i="159" s="1"/>
  <c r="I40" i="159" s="1"/>
  <c r="J40" i="159" s="1"/>
  <c r="K40" i="159" s="1"/>
  <c r="L40" i="159" s="1"/>
  <c r="M40" i="159" s="1"/>
  <c r="N40" i="159" s="1"/>
  <c r="O40" i="159" s="1"/>
  <c r="P40" i="159" s="1"/>
  <c r="Q40" i="159" s="1"/>
  <c r="B75" i="159" s="1"/>
  <c r="C75" i="159" s="1"/>
  <c r="D75" i="159" s="1"/>
  <c r="E75" i="159" s="1"/>
  <c r="F75" i="159" s="1"/>
  <c r="G75" i="159" s="1"/>
  <c r="H75" i="159" s="1"/>
  <c r="I75" i="159" s="1"/>
  <c r="J75" i="159" s="1"/>
  <c r="K75" i="159" s="1"/>
  <c r="L75" i="159" s="1"/>
  <c r="M75" i="159" s="1"/>
  <c r="N75" i="159" s="1"/>
  <c r="O75" i="159" s="1"/>
  <c r="P75" i="159" s="1"/>
  <c r="Q75" i="159" s="1"/>
  <c r="B7" i="159" l="1"/>
  <c r="C18" i="159"/>
  <c r="C20" i="159" s="1"/>
  <c r="C11" i="159"/>
  <c r="B35" i="159"/>
  <c r="C34" i="159"/>
  <c r="B15" i="159"/>
  <c r="C14" i="159"/>
  <c r="C24" i="159"/>
  <c r="C23" i="159"/>
  <c r="D22" i="159"/>
  <c r="C8" i="159"/>
  <c r="C7" i="159"/>
  <c r="D10" i="159"/>
  <c r="D6" i="159"/>
  <c r="D18" i="159"/>
  <c r="C26" i="159"/>
  <c r="B27" i="159"/>
  <c r="C19" i="159"/>
  <c r="B31" i="159"/>
  <c r="C30" i="159"/>
  <c r="D23" i="159" l="1"/>
  <c r="E22" i="159"/>
  <c r="D24" i="159"/>
  <c r="C32" i="159"/>
  <c r="D30" i="159"/>
  <c r="C31" i="159"/>
  <c r="D8" i="159"/>
  <c r="D7" i="159"/>
  <c r="E6" i="159"/>
  <c r="D26" i="159"/>
  <c r="C28" i="159"/>
  <c r="C27" i="159"/>
  <c r="D19" i="159"/>
  <c r="E18" i="159"/>
  <c r="D20" i="159"/>
  <c r="C15" i="159"/>
  <c r="C16" i="159"/>
  <c r="D14" i="159"/>
  <c r="D11" i="159"/>
  <c r="E10" i="159"/>
  <c r="D12" i="159"/>
  <c r="C36" i="159"/>
  <c r="C35" i="159"/>
  <c r="D34" i="159"/>
  <c r="D16" i="159" l="1"/>
  <c r="E14" i="159"/>
  <c r="D15" i="159"/>
  <c r="D36" i="159"/>
  <c r="E34" i="159"/>
  <c r="D35" i="159"/>
  <c r="E30" i="159"/>
  <c r="D32" i="159"/>
  <c r="D31" i="159"/>
  <c r="D28" i="159"/>
  <c r="D27" i="159"/>
  <c r="E26" i="159"/>
  <c r="E7" i="159"/>
  <c r="E8" i="159"/>
  <c r="F6" i="159"/>
  <c r="E12" i="159"/>
  <c r="F10" i="159"/>
  <c r="E11" i="159"/>
  <c r="F18" i="159"/>
  <c r="E19" i="159"/>
  <c r="E20" i="159"/>
  <c r="E24" i="159"/>
  <c r="E23" i="159"/>
  <c r="F22" i="159"/>
  <c r="F11" i="159" l="1"/>
  <c r="G10" i="159"/>
  <c r="F12" i="159"/>
  <c r="F23" i="159"/>
  <c r="G22" i="159"/>
  <c r="F24" i="159"/>
  <c r="E27" i="159"/>
  <c r="E28" i="159"/>
  <c r="F26" i="159"/>
  <c r="E36" i="159"/>
  <c r="E35" i="159"/>
  <c r="F34" i="159"/>
  <c r="G6" i="159"/>
  <c r="F8" i="159"/>
  <c r="F7" i="159"/>
  <c r="E15" i="159"/>
  <c r="F14" i="159"/>
  <c r="E16" i="159"/>
  <c r="F20" i="159"/>
  <c r="G18" i="159"/>
  <c r="F19" i="159"/>
  <c r="E32" i="159"/>
  <c r="E31" i="159"/>
  <c r="F30" i="159"/>
  <c r="G24" i="159" l="1"/>
  <c r="H22" i="159"/>
  <c r="G23" i="159"/>
  <c r="F31" i="159"/>
  <c r="G30" i="159"/>
  <c r="F32" i="159"/>
  <c r="F36" i="159"/>
  <c r="F35" i="159"/>
  <c r="G34" i="159"/>
  <c r="F16" i="159"/>
  <c r="G14" i="159"/>
  <c r="F15" i="159"/>
  <c r="F28" i="159"/>
  <c r="F27" i="159"/>
  <c r="G26" i="159"/>
  <c r="H18" i="159"/>
  <c r="G20" i="159"/>
  <c r="G19" i="159"/>
  <c r="G11" i="159"/>
  <c r="H10" i="159"/>
  <c r="G12" i="159"/>
  <c r="H6" i="159"/>
  <c r="G8" i="159"/>
  <c r="G7" i="159"/>
  <c r="G15" i="159" l="1"/>
  <c r="H14" i="159"/>
  <c r="G16" i="159"/>
  <c r="G32" i="159"/>
  <c r="G31" i="159"/>
  <c r="H30" i="159"/>
  <c r="I6" i="159"/>
  <c r="H8" i="159"/>
  <c r="H7" i="159"/>
  <c r="H20" i="159"/>
  <c r="H19" i="159"/>
  <c r="I18" i="159"/>
  <c r="G27" i="159"/>
  <c r="H26" i="159"/>
  <c r="G28" i="159"/>
  <c r="G35" i="159"/>
  <c r="H34" i="159"/>
  <c r="G36" i="159"/>
  <c r="H11" i="159"/>
  <c r="H12" i="159"/>
  <c r="I10" i="159"/>
  <c r="H24" i="159"/>
  <c r="H23" i="159"/>
  <c r="I22" i="159"/>
  <c r="H32" i="159" l="1"/>
  <c r="I30" i="159"/>
  <c r="H31" i="159"/>
  <c r="I12" i="159"/>
  <c r="J10" i="159"/>
  <c r="I11" i="159"/>
  <c r="I24" i="159"/>
  <c r="I23" i="159"/>
  <c r="J22" i="159"/>
  <c r="I19" i="159"/>
  <c r="I20" i="159"/>
  <c r="J18" i="159"/>
  <c r="H36" i="159"/>
  <c r="H35" i="159"/>
  <c r="I34" i="159"/>
  <c r="H28" i="159"/>
  <c r="I26" i="159"/>
  <c r="H27" i="159"/>
  <c r="I14" i="159"/>
  <c r="H16" i="159"/>
  <c r="H15" i="159"/>
  <c r="I8" i="159"/>
  <c r="I7" i="159"/>
  <c r="J6" i="159"/>
  <c r="J12" i="159" l="1"/>
  <c r="J11" i="159"/>
  <c r="K10" i="159"/>
  <c r="I35" i="159"/>
  <c r="J34" i="159"/>
  <c r="I36" i="159"/>
  <c r="J23" i="159"/>
  <c r="J24" i="159"/>
  <c r="K22" i="159"/>
  <c r="J8" i="159"/>
  <c r="J7" i="159"/>
  <c r="K6" i="159"/>
  <c r="J20" i="159"/>
  <c r="K18" i="159"/>
  <c r="J19" i="159"/>
  <c r="I28" i="159"/>
  <c r="I27" i="159"/>
  <c r="J26" i="159"/>
  <c r="I32" i="159"/>
  <c r="J30" i="159"/>
  <c r="I31" i="159"/>
  <c r="I15" i="159"/>
  <c r="I16" i="159"/>
  <c r="J14" i="159"/>
  <c r="J16" i="159" l="1"/>
  <c r="K14" i="159"/>
  <c r="J15" i="159"/>
  <c r="K26" i="159"/>
  <c r="J28" i="159"/>
  <c r="J27" i="159"/>
  <c r="K8" i="159"/>
  <c r="K7" i="159"/>
  <c r="L6" i="159"/>
  <c r="J36" i="159"/>
  <c r="K34" i="159"/>
  <c r="J35" i="159"/>
  <c r="K23" i="159"/>
  <c r="L22" i="159"/>
  <c r="K24" i="159"/>
  <c r="K12" i="159"/>
  <c r="L10" i="159"/>
  <c r="K11" i="159"/>
  <c r="J32" i="159"/>
  <c r="J31" i="159"/>
  <c r="K30" i="159"/>
  <c r="K19" i="159"/>
  <c r="L18" i="159"/>
  <c r="K20" i="159"/>
  <c r="L30" i="159" l="1"/>
  <c r="K32" i="159"/>
  <c r="K31" i="159"/>
  <c r="L20" i="159"/>
  <c r="L19" i="159"/>
  <c r="M18" i="159"/>
  <c r="L11" i="159"/>
  <c r="L12" i="159"/>
  <c r="M10" i="159"/>
  <c r="K36" i="159"/>
  <c r="K35" i="159"/>
  <c r="L34" i="159"/>
  <c r="K27" i="159"/>
  <c r="K28" i="159"/>
  <c r="L26" i="159"/>
  <c r="M6" i="159"/>
  <c r="L8" i="159"/>
  <c r="L7" i="159"/>
  <c r="L24" i="159"/>
  <c r="M22" i="159"/>
  <c r="L23" i="159"/>
  <c r="K16" i="159"/>
  <c r="K15" i="159"/>
  <c r="L14" i="159"/>
  <c r="L31" i="159" l="1"/>
  <c r="L32" i="159"/>
  <c r="M30" i="159"/>
  <c r="L16" i="159"/>
  <c r="M14" i="159"/>
  <c r="L15" i="159"/>
  <c r="L36" i="159"/>
  <c r="L35" i="159"/>
  <c r="M34" i="159"/>
  <c r="N18" i="159"/>
  <c r="M20" i="159"/>
  <c r="M19" i="159"/>
  <c r="M7" i="159"/>
  <c r="N6" i="159"/>
  <c r="M8" i="159"/>
  <c r="L28" i="159"/>
  <c r="L27" i="159"/>
  <c r="M26" i="159"/>
  <c r="M12" i="159"/>
  <c r="M11" i="159"/>
  <c r="N10" i="159"/>
  <c r="M24" i="159"/>
  <c r="N22" i="159"/>
  <c r="M23" i="159"/>
  <c r="O22" i="159" l="1"/>
  <c r="N24" i="159"/>
  <c r="N23" i="159"/>
  <c r="M15" i="159"/>
  <c r="M16" i="159"/>
  <c r="N14" i="159"/>
  <c r="O6" i="159"/>
  <c r="N8" i="159"/>
  <c r="N7" i="159"/>
  <c r="M28" i="159"/>
  <c r="M27" i="159"/>
  <c r="N26" i="159"/>
  <c r="N20" i="159"/>
  <c r="N19" i="159"/>
  <c r="O18" i="159"/>
  <c r="N11" i="159"/>
  <c r="N12" i="159"/>
  <c r="O10" i="159"/>
  <c r="M35" i="159"/>
  <c r="M36" i="159"/>
  <c r="N34" i="159"/>
  <c r="M31" i="159"/>
  <c r="N30" i="159"/>
  <c r="M32" i="159"/>
  <c r="O12" i="159" l="1"/>
  <c r="P10" i="159"/>
  <c r="O11" i="159"/>
  <c r="N32" i="159"/>
  <c r="N31" i="159"/>
  <c r="O30" i="159"/>
  <c r="N16" i="159"/>
  <c r="N15" i="159"/>
  <c r="O14" i="159"/>
  <c r="N35" i="159"/>
  <c r="O34" i="159"/>
  <c r="N36" i="159"/>
  <c r="O19" i="159"/>
  <c r="O20" i="159"/>
  <c r="P18" i="159"/>
  <c r="N28" i="159"/>
  <c r="O26" i="159"/>
  <c r="N27" i="159"/>
  <c r="O8" i="159"/>
  <c r="P6" i="159"/>
  <c r="O7" i="159"/>
  <c r="O24" i="159"/>
  <c r="O23" i="159"/>
  <c r="P22" i="159"/>
  <c r="O36" i="159" l="1"/>
  <c r="O35" i="159"/>
  <c r="P34" i="159"/>
  <c r="P23" i="159"/>
  <c r="P24" i="159"/>
  <c r="Q22" i="159"/>
  <c r="O32" i="159"/>
  <c r="P30" i="159"/>
  <c r="O31" i="159"/>
  <c r="P26" i="159"/>
  <c r="O28" i="159"/>
  <c r="O27" i="159"/>
  <c r="P19" i="159"/>
  <c r="Q18" i="159"/>
  <c r="P20" i="159"/>
  <c r="O15" i="159"/>
  <c r="O16" i="159"/>
  <c r="P14" i="159"/>
  <c r="P8" i="159"/>
  <c r="P7" i="159"/>
  <c r="Q6" i="159"/>
  <c r="P11" i="159"/>
  <c r="P12" i="159"/>
  <c r="Q10" i="159"/>
  <c r="Q12" i="159" l="1"/>
  <c r="B45" i="159"/>
  <c r="Q11" i="159"/>
  <c r="P16" i="159"/>
  <c r="Q14" i="159"/>
  <c r="P15" i="159"/>
  <c r="Q24" i="159"/>
  <c r="Q23" i="159"/>
  <c r="B57" i="159"/>
  <c r="P28" i="159"/>
  <c r="P27" i="159"/>
  <c r="Q26" i="159"/>
  <c r="B41" i="159"/>
  <c r="Q8" i="159"/>
  <c r="Q7" i="159"/>
  <c r="P36" i="159"/>
  <c r="Q34" i="159"/>
  <c r="P35" i="159"/>
  <c r="Q20" i="159"/>
  <c r="B53" i="159"/>
  <c r="Q19" i="159"/>
  <c r="P32" i="159"/>
  <c r="P31" i="159"/>
  <c r="Q30" i="159"/>
  <c r="B55" i="159" l="1"/>
  <c r="B54" i="159"/>
  <c r="C53" i="159"/>
  <c r="B65" i="159"/>
  <c r="Q32" i="159"/>
  <c r="Q31" i="159"/>
  <c r="Q27" i="159"/>
  <c r="Q28" i="159"/>
  <c r="B61" i="159"/>
  <c r="Q15" i="159"/>
  <c r="Q16" i="159"/>
  <c r="B49" i="159"/>
  <c r="B43" i="159"/>
  <c r="C41" i="159"/>
  <c r="B42" i="159"/>
  <c r="B69" i="159"/>
  <c r="Q35" i="159"/>
  <c r="Q36" i="159"/>
  <c r="B59" i="159"/>
  <c r="B58" i="159"/>
  <c r="C57" i="159"/>
  <c r="B47" i="159"/>
  <c r="B46" i="159"/>
  <c r="C45" i="159"/>
  <c r="C46" i="159" l="1"/>
  <c r="C47" i="159"/>
  <c r="D45" i="159"/>
  <c r="B51" i="159"/>
  <c r="B50" i="159"/>
  <c r="C49" i="159"/>
  <c r="C69" i="159"/>
  <c r="B70" i="159"/>
  <c r="B71" i="159"/>
  <c r="C65" i="159"/>
  <c r="B66" i="159"/>
  <c r="B67" i="159"/>
  <c r="C58" i="159"/>
  <c r="C59" i="159"/>
  <c r="D57" i="159"/>
  <c r="B63" i="159"/>
  <c r="B62" i="159"/>
  <c r="C61" i="159"/>
  <c r="C54" i="159"/>
  <c r="C55" i="159"/>
  <c r="D53" i="159"/>
  <c r="C42" i="159"/>
  <c r="C43" i="159"/>
  <c r="D41" i="159"/>
  <c r="D42" i="159" l="1"/>
  <c r="D43" i="159"/>
  <c r="E41" i="159"/>
  <c r="C50" i="159"/>
  <c r="C51" i="159"/>
  <c r="D49" i="159"/>
  <c r="C66" i="159"/>
  <c r="D65" i="159"/>
  <c r="C67" i="159"/>
  <c r="C62" i="159"/>
  <c r="C63" i="159"/>
  <c r="D61" i="159"/>
  <c r="E53" i="159"/>
  <c r="D54" i="159"/>
  <c r="D55" i="159"/>
  <c r="E57" i="159"/>
  <c r="D58" i="159"/>
  <c r="D59" i="159"/>
  <c r="D46" i="159"/>
  <c r="E45" i="159"/>
  <c r="D47" i="159"/>
  <c r="C70" i="159"/>
  <c r="D69" i="159"/>
  <c r="C71" i="159"/>
  <c r="E47" i="159" l="1"/>
  <c r="F45" i="159"/>
  <c r="E46" i="159"/>
  <c r="D67" i="159"/>
  <c r="E65" i="159"/>
  <c r="D66" i="159"/>
  <c r="E49" i="159"/>
  <c r="D50" i="159"/>
  <c r="D51" i="159"/>
  <c r="E59" i="159"/>
  <c r="F57" i="159"/>
  <c r="E58" i="159"/>
  <c r="E55" i="159"/>
  <c r="E54" i="159"/>
  <c r="F53" i="159"/>
  <c r="D63" i="159"/>
  <c r="E61" i="159"/>
  <c r="D62" i="159"/>
  <c r="D71" i="159"/>
  <c r="E69" i="159"/>
  <c r="D70" i="159"/>
  <c r="E43" i="159"/>
  <c r="E42" i="159"/>
  <c r="F41" i="159"/>
  <c r="F42" i="159" l="1"/>
  <c r="G41" i="159"/>
  <c r="F43" i="159"/>
  <c r="E63" i="159"/>
  <c r="E62" i="159"/>
  <c r="F61" i="159"/>
  <c r="G57" i="159"/>
  <c r="F58" i="159"/>
  <c r="F59" i="159"/>
  <c r="E66" i="159"/>
  <c r="E67" i="159"/>
  <c r="F65" i="159"/>
  <c r="G53" i="159"/>
  <c r="F54" i="159"/>
  <c r="F55" i="159"/>
  <c r="E70" i="159"/>
  <c r="E71" i="159"/>
  <c r="F69" i="159"/>
  <c r="G45" i="159"/>
  <c r="F46" i="159"/>
  <c r="F47" i="159"/>
  <c r="E51" i="159"/>
  <c r="E50" i="159"/>
  <c r="F49" i="159"/>
  <c r="G49" i="159" l="1"/>
  <c r="F50" i="159"/>
  <c r="F51" i="159"/>
  <c r="G69" i="159"/>
  <c r="F70" i="159"/>
  <c r="F71" i="159"/>
  <c r="G65" i="159"/>
  <c r="F66" i="159"/>
  <c r="F67" i="159"/>
  <c r="G61" i="159"/>
  <c r="F62" i="159"/>
  <c r="F63" i="159"/>
  <c r="H41" i="159"/>
  <c r="G42" i="159"/>
  <c r="G43" i="159"/>
  <c r="G46" i="159"/>
  <c r="H45" i="159"/>
  <c r="G47" i="159"/>
  <c r="G54" i="159"/>
  <c r="H53" i="159"/>
  <c r="G55" i="159"/>
  <c r="G58" i="159"/>
  <c r="H57" i="159"/>
  <c r="G59" i="159"/>
  <c r="H55" i="159" l="1"/>
  <c r="H54" i="159"/>
  <c r="I53" i="159"/>
  <c r="H42" i="159"/>
  <c r="H43" i="159"/>
  <c r="I41" i="159"/>
  <c r="G67" i="159"/>
  <c r="G66" i="159"/>
  <c r="H65" i="159"/>
  <c r="G50" i="159"/>
  <c r="H49" i="159"/>
  <c r="G51" i="159"/>
  <c r="H59" i="159"/>
  <c r="I57" i="159"/>
  <c r="H58" i="159"/>
  <c r="H47" i="159"/>
  <c r="I45" i="159"/>
  <c r="H46" i="159"/>
  <c r="G63" i="159"/>
  <c r="G62" i="159"/>
  <c r="H61" i="159"/>
  <c r="G71" i="159"/>
  <c r="G70" i="159"/>
  <c r="H69" i="159"/>
  <c r="I69" i="159" l="1"/>
  <c r="H70" i="159"/>
  <c r="H71" i="159"/>
  <c r="I42" i="159"/>
  <c r="I43" i="159"/>
  <c r="J41" i="159"/>
  <c r="I46" i="159"/>
  <c r="I47" i="159"/>
  <c r="J45" i="159"/>
  <c r="I65" i="159"/>
  <c r="H66" i="159"/>
  <c r="H67" i="159"/>
  <c r="I58" i="159"/>
  <c r="I59" i="159"/>
  <c r="J57" i="159"/>
  <c r="H51" i="159"/>
  <c r="H50" i="159"/>
  <c r="I49" i="159"/>
  <c r="H63" i="159"/>
  <c r="H62" i="159"/>
  <c r="I61" i="159"/>
  <c r="I54" i="159"/>
  <c r="I55" i="159"/>
  <c r="J53" i="159"/>
  <c r="I50" i="159" l="1"/>
  <c r="I51" i="159"/>
  <c r="J49" i="159"/>
  <c r="J43" i="159"/>
  <c r="K41" i="159"/>
  <c r="J42" i="159"/>
  <c r="K53" i="159"/>
  <c r="J54" i="159"/>
  <c r="J55" i="159"/>
  <c r="I70" i="159"/>
  <c r="J69" i="159"/>
  <c r="I71" i="159"/>
  <c r="I66" i="159"/>
  <c r="J65" i="159"/>
  <c r="I67" i="159"/>
  <c r="I62" i="159"/>
  <c r="J61" i="159"/>
  <c r="I63" i="159"/>
  <c r="K57" i="159"/>
  <c r="J59" i="159"/>
  <c r="J58" i="159"/>
  <c r="K45" i="159"/>
  <c r="J47" i="159"/>
  <c r="J46" i="159"/>
  <c r="J71" i="159" l="1"/>
  <c r="K69" i="159"/>
  <c r="J70" i="159"/>
  <c r="K47" i="159"/>
  <c r="K46" i="159"/>
  <c r="L45" i="159"/>
  <c r="K49" i="159"/>
  <c r="J51" i="159"/>
  <c r="J50" i="159"/>
  <c r="J63" i="159"/>
  <c r="K61" i="159"/>
  <c r="J62" i="159"/>
  <c r="K43" i="159"/>
  <c r="K42" i="159"/>
  <c r="L41" i="159"/>
  <c r="J67" i="159"/>
  <c r="K65" i="159"/>
  <c r="J66" i="159"/>
  <c r="K59" i="159"/>
  <c r="K58" i="159"/>
  <c r="L57" i="159"/>
  <c r="K55" i="159"/>
  <c r="K54" i="159"/>
  <c r="L53" i="159"/>
  <c r="M45" i="159" l="1"/>
  <c r="L46" i="159"/>
  <c r="L47" i="159"/>
  <c r="K51" i="159"/>
  <c r="K50" i="159"/>
  <c r="L49" i="159"/>
  <c r="M53" i="159"/>
  <c r="L54" i="159"/>
  <c r="L55" i="159"/>
  <c r="K66" i="159"/>
  <c r="K67" i="159"/>
  <c r="L65" i="159"/>
  <c r="K63" i="159"/>
  <c r="K62" i="159"/>
  <c r="L61" i="159"/>
  <c r="M57" i="159"/>
  <c r="L58" i="159"/>
  <c r="L59" i="159"/>
  <c r="L42" i="159"/>
  <c r="M41" i="159"/>
  <c r="L43" i="159"/>
  <c r="K70" i="159"/>
  <c r="K71" i="159"/>
  <c r="L69" i="159"/>
  <c r="N41" i="159" l="1"/>
  <c r="M43" i="159"/>
  <c r="M42" i="159"/>
  <c r="M65" i="159"/>
  <c r="L66" i="159"/>
  <c r="L67" i="159"/>
  <c r="M69" i="159"/>
  <c r="L70" i="159"/>
  <c r="L71" i="159"/>
  <c r="M49" i="159"/>
  <c r="L50" i="159"/>
  <c r="L51" i="159"/>
  <c r="M58" i="159"/>
  <c r="N57" i="159"/>
  <c r="M59" i="159"/>
  <c r="M61" i="159"/>
  <c r="L62" i="159"/>
  <c r="L63" i="159"/>
  <c r="M54" i="159"/>
  <c r="M55" i="159"/>
  <c r="N53" i="159"/>
  <c r="M46" i="159"/>
  <c r="N45" i="159"/>
  <c r="M47" i="159"/>
  <c r="N55" i="159" l="1"/>
  <c r="N54" i="159"/>
  <c r="O53" i="159"/>
  <c r="M71" i="159"/>
  <c r="M70" i="159"/>
  <c r="N69" i="159"/>
  <c r="N47" i="159"/>
  <c r="N46" i="159"/>
  <c r="O45" i="159"/>
  <c r="N59" i="159"/>
  <c r="N58" i="159"/>
  <c r="O57" i="159"/>
  <c r="O41" i="159"/>
  <c r="N42" i="159"/>
  <c r="N43" i="159"/>
  <c r="M63" i="159"/>
  <c r="M62" i="159"/>
  <c r="N61" i="159"/>
  <c r="M50" i="159"/>
  <c r="N49" i="159"/>
  <c r="M51" i="159"/>
  <c r="M67" i="159"/>
  <c r="M66" i="159"/>
  <c r="N65" i="159"/>
  <c r="O65" i="159" l="1"/>
  <c r="N66" i="159"/>
  <c r="N67" i="159"/>
  <c r="N63" i="159"/>
  <c r="O61" i="159"/>
  <c r="N62" i="159"/>
  <c r="O58" i="159"/>
  <c r="O59" i="159"/>
  <c r="P57" i="159"/>
  <c r="O69" i="159"/>
  <c r="N70" i="159"/>
  <c r="N71" i="159"/>
  <c r="O46" i="159"/>
  <c r="O47" i="159"/>
  <c r="P45" i="159"/>
  <c r="O54" i="159"/>
  <c r="O55" i="159"/>
  <c r="P53" i="159"/>
  <c r="N51" i="159"/>
  <c r="O49" i="159"/>
  <c r="N50" i="159"/>
  <c r="O42" i="159"/>
  <c r="P41" i="159"/>
  <c r="O43" i="159"/>
  <c r="O66" i="159" l="1"/>
  <c r="P65" i="159"/>
  <c r="O67" i="159"/>
  <c r="Q53" i="159"/>
  <c r="P54" i="159"/>
  <c r="P55" i="159"/>
  <c r="P43" i="159"/>
  <c r="Q41" i="159"/>
  <c r="P42" i="159"/>
  <c r="O62" i="159"/>
  <c r="O63" i="159"/>
  <c r="P61" i="159"/>
  <c r="O70" i="159"/>
  <c r="P69" i="159"/>
  <c r="O71" i="159"/>
  <c r="Q45" i="159"/>
  <c r="P46" i="159"/>
  <c r="P47" i="159"/>
  <c r="Q57" i="159"/>
  <c r="P58" i="159"/>
  <c r="P59" i="159"/>
  <c r="O50" i="159"/>
  <c r="O51" i="159"/>
  <c r="P49" i="159"/>
  <c r="P63" i="159" l="1"/>
  <c r="Q61" i="159"/>
  <c r="P62" i="159"/>
  <c r="Q49" i="159"/>
  <c r="P50" i="159"/>
  <c r="P51" i="159"/>
  <c r="B80" i="159"/>
  <c r="Q47" i="159"/>
  <c r="Q46" i="159"/>
  <c r="B88" i="159"/>
  <c r="Q55" i="159"/>
  <c r="Q54" i="159"/>
  <c r="P71" i="159"/>
  <c r="P70" i="159"/>
  <c r="Q69" i="159"/>
  <c r="B76" i="159"/>
  <c r="Q43" i="159"/>
  <c r="Q42" i="159"/>
  <c r="P67" i="159"/>
  <c r="P66" i="159"/>
  <c r="Q65" i="159"/>
  <c r="B92" i="159"/>
  <c r="Q59" i="159"/>
  <c r="Q58" i="159"/>
  <c r="C92" i="159" l="1"/>
  <c r="B93" i="159"/>
  <c r="B94" i="159"/>
  <c r="C76" i="159"/>
  <c r="B77" i="159"/>
  <c r="B78" i="159"/>
  <c r="C88" i="159"/>
  <c r="B89" i="159"/>
  <c r="B90" i="159"/>
  <c r="B84" i="159"/>
  <c r="Q51" i="159"/>
  <c r="Q50" i="159"/>
  <c r="Q66" i="159"/>
  <c r="Q67" i="159"/>
  <c r="B100" i="159"/>
  <c r="Q70" i="159"/>
  <c r="Q71" i="159"/>
  <c r="B104" i="159"/>
  <c r="Q63" i="159"/>
  <c r="B96" i="159"/>
  <c r="Q62" i="159"/>
  <c r="C80" i="159"/>
  <c r="B81" i="159"/>
  <c r="B82" i="159"/>
  <c r="C104" i="159" l="1"/>
  <c r="B105" i="159"/>
  <c r="B106" i="159"/>
  <c r="C82" i="159"/>
  <c r="C81" i="159"/>
  <c r="D80" i="159"/>
  <c r="C84" i="159"/>
  <c r="B85" i="159"/>
  <c r="B86" i="159"/>
  <c r="C78" i="159"/>
  <c r="C77" i="159"/>
  <c r="D76" i="159"/>
  <c r="C100" i="159"/>
  <c r="B101" i="159"/>
  <c r="B102" i="159"/>
  <c r="C96" i="159"/>
  <c r="B97" i="159"/>
  <c r="B98" i="159"/>
  <c r="C90" i="159"/>
  <c r="C89" i="159"/>
  <c r="D88" i="159"/>
  <c r="C94" i="159"/>
  <c r="C93" i="159"/>
  <c r="D92" i="159"/>
  <c r="E92" i="159" l="1"/>
  <c r="D93" i="159"/>
  <c r="D94" i="159"/>
  <c r="E76" i="159"/>
  <c r="D77" i="159"/>
  <c r="D78" i="159"/>
  <c r="E80" i="159"/>
  <c r="D81" i="159"/>
  <c r="D82" i="159"/>
  <c r="C98" i="159"/>
  <c r="C97" i="159"/>
  <c r="D96" i="159"/>
  <c r="E88" i="159"/>
  <c r="D89" i="159"/>
  <c r="D90" i="159"/>
  <c r="C102" i="159"/>
  <c r="C101" i="159"/>
  <c r="D100" i="159"/>
  <c r="C86" i="159"/>
  <c r="C85" i="159"/>
  <c r="D84" i="159"/>
  <c r="C106" i="159"/>
  <c r="C105" i="159"/>
  <c r="D104" i="159"/>
  <c r="E104" i="159" l="1"/>
  <c r="D105" i="159"/>
  <c r="D106" i="159"/>
  <c r="E96" i="159"/>
  <c r="D97" i="159"/>
  <c r="D98" i="159"/>
  <c r="E84" i="159"/>
  <c r="D85" i="159"/>
  <c r="D86" i="159"/>
  <c r="E100" i="159"/>
  <c r="D101" i="159"/>
  <c r="D102" i="159"/>
  <c r="E77" i="159"/>
  <c r="F76" i="159"/>
  <c r="E78" i="159"/>
  <c r="E89" i="159"/>
  <c r="F88" i="159"/>
  <c r="E90" i="159"/>
  <c r="E81" i="159"/>
  <c r="F80" i="159"/>
  <c r="E82" i="159"/>
  <c r="E93" i="159"/>
  <c r="F92" i="159"/>
  <c r="E94" i="159"/>
  <c r="F94" i="159" l="1"/>
  <c r="G92" i="159"/>
  <c r="F93" i="159"/>
  <c r="E101" i="159"/>
  <c r="F100" i="159"/>
  <c r="E102" i="159"/>
  <c r="F78" i="159"/>
  <c r="G76" i="159"/>
  <c r="F77" i="159"/>
  <c r="F90" i="159"/>
  <c r="G88" i="159"/>
  <c r="F89" i="159"/>
  <c r="E97" i="159"/>
  <c r="F96" i="159"/>
  <c r="E98" i="159"/>
  <c r="F82" i="159"/>
  <c r="G80" i="159"/>
  <c r="F81" i="159"/>
  <c r="E85" i="159"/>
  <c r="F84" i="159"/>
  <c r="E86" i="159"/>
  <c r="E105" i="159"/>
  <c r="F104" i="159"/>
  <c r="E106" i="159"/>
  <c r="F106" i="159" l="1"/>
  <c r="G104" i="159"/>
  <c r="F105" i="159"/>
  <c r="G81" i="159"/>
  <c r="G82" i="159"/>
  <c r="H80" i="159"/>
  <c r="F102" i="159"/>
  <c r="G100" i="159"/>
  <c r="F101" i="159"/>
  <c r="F86" i="159"/>
  <c r="G84" i="159"/>
  <c r="F85" i="159"/>
  <c r="F98" i="159"/>
  <c r="G96" i="159"/>
  <c r="F97" i="159"/>
  <c r="G77" i="159"/>
  <c r="G78" i="159"/>
  <c r="H76" i="159"/>
  <c r="G93" i="159"/>
  <c r="G94" i="159"/>
  <c r="H92" i="159"/>
  <c r="G89" i="159"/>
  <c r="G90" i="159"/>
  <c r="H88" i="159"/>
  <c r="I88" i="159" l="1"/>
  <c r="H89" i="159"/>
  <c r="H90" i="159"/>
  <c r="I76" i="159"/>
  <c r="H77" i="159"/>
  <c r="H78" i="159"/>
  <c r="I80" i="159"/>
  <c r="H81" i="159"/>
  <c r="H82" i="159"/>
  <c r="G85" i="159"/>
  <c r="G86" i="159"/>
  <c r="H84" i="159"/>
  <c r="I92" i="159"/>
  <c r="H93" i="159"/>
  <c r="H94" i="159"/>
  <c r="G97" i="159"/>
  <c r="G98" i="159"/>
  <c r="H96" i="159"/>
  <c r="G101" i="159"/>
  <c r="G102" i="159"/>
  <c r="H100" i="159"/>
  <c r="G105" i="159"/>
  <c r="G106" i="159"/>
  <c r="H104" i="159"/>
  <c r="I96" i="159" l="1"/>
  <c r="H97" i="159"/>
  <c r="H98" i="159"/>
  <c r="I104" i="159"/>
  <c r="H105" i="159"/>
  <c r="H106" i="159"/>
  <c r="I84" i="159"/>
  <c r="H85" i="159"/>
  <c r="H86" i="159"/>
  <c r="I78" i="159"/>
  <c r="I77" i="159"/>
  <c r="J76" i="159"/>
  <c r="I100" i="159"/>
  <c r="H101" i="159"/>
  <c r="H102" i="159"/>
  <c r="I94" i="159"/>
  <c r="I93" i="159"/>
  <c r="J92" i="159"/>
  <c r="I82" i="159"/>
  <c r="I81" i="159"/>
  <c r="J80" i="159"/>
  <c r="I90" i="159"/>
  <c r="I89" i="159"/>
  <c r="J88" i="159"/>
  <c r="K76" i="159" l="1"/>
  <c r="J77" i="159"/>
  <c r="J78" i="159"/>
  <c r="I106" i="159"/>
  <c r="I105" i="159"/>
  <c r="J104" i="159"/>
  <c r="K88" i="159"/>
  <c r="J89" i="159"/>
  <c r="J90" i="159"/>
  <c r="K92" i="159"/>
  <c r="J93" i="159"/>
  <c r="J94" i="159"/>
  <c r="K80" i="159"/>
  <c r="J81" i="159"/>
  <c r="J82" i="159"/>
  <c r="I102" i="159"/>
  <c r="I101" i="159"/>
  <c r="J100" i="159"/>
  <c r="I86" i="159"/>
  <c r="I85" i="159"/>
  <c r="J84" i="159"/>
  <c r="I98" i="159"/>
  <c r="I97" i="159"/>
  <c r="J96" i="159"/>
  <c r="K104" i="159" l="1"/>
  <c r="J105" i="159"/>
  <c r="J106" i="159"/>
  <c r="K96" i="159"/>
  <c r="J97" i="159"/>
  <c r="J98" i="159"/>
  <c r="K100" i="159"/>
  <c r="J101" i="159"/>
  <c r="J102" i="159"/>
  <c r="K93" i="159"/>
  <c r="L92" i="159"/>
  <c r="K94" i="159"/>
  <c r="K84" i="159"/>
  <c r="J85" i="159"/>
  <c r="J86" i="159"/>
  <c r="K81" i="159"/>
  <c r="L80" i="159"/>
  <c r="K82" i="159"/>
  <c r="K89" i="159"/>
  <c r="L88" i="159"/>
  <c r="K90" i="159"/>
  <c r="K77" i="159"/>
  <c r="L76" i="159"/>
  <c r="K78" i="159"/>
  <c r="K101" i="159" l="1"/>
  <c r="L100" i="159"/>
  <c r="K102" i="159"/>
  <c r="L78" i="159"/>
  <c r="M76" i="159"/>
  <c r="L77" i="159"/>
  <c r="L82" i="159"/>
  <c r="M80" i="159"/>
  <c r="L81" i="159"/>
  <c r="L94" i="159"/>
  <c r="M92" i="159"/>
  <c r="L93" i="159"/>
  <c r="K97" i="159"/>
  <c r="L96" i="159"/>
  <c r="K98" i="159"/>
  <c r="L90" i="159"/>
  <c r="M88" i="159"/>
  <c r="L89" i="159"/>
  <c r="K85" i="159"/>
  <c r="L84" i="159"/>
  <c r="K86" i="159"/>
  <c r="K105" i="159"/>
  <c r="L104" i="159"/>
  <c r="K106" i="159"/>
  <c r="L106" i="159" l="1"/>
  <c r="M104" i="159"/>
  <c r="L105" i="159"/>
  <c r="M89" i="159"/>
  <c r="M90" i="159"/>
  <c r="N88" i="159"/>
  <c r="M93" i="159"/>
  <c r="M94" i="159"/>
  <c r="N92" i="159"/>
  <c r="M77" i="159"/>
  <c r="M78" i="159"/>
  <c r="N76" i="159"/>
  <c r="L86" i="159"/>
  <c r="M84" i="159"/>
  <c r="L85" i="159"/>
  <c r="L98" i="159"/>
  <c r="M96" i="159"/>
  <c r="L97" i="159"/>
  <c r="M81" i="159"/>
  <c r="M82" i="159"/>
  <c r="N80" i="159"/>
  <c r="L102" i="159"/>
  <c r="M100" i="159"/>
  <c r="L101" i="159"/>
  <c r="O88" i="159" l="1"/>
  <c r="N89" i="159"/>
  <c r="N90" i="159"/>
  <c r="M97" i="159"/>
  <c r="M98" i="159"/>
  <c r="N96" i="159"/>
  <c r="M105" i="159"/>
  <c r="M106" i="159"/>
  <c r="N104" i="159"/>
  <c r="O76" i="159"/>
  <c r="N77" i="159"/>
  <c r="N78" i="159"/>
  <c r="M101" i="159"/>
  <c r="M102" i="159"/>
  <c r="N100" i="159"/>
  <c r="O80" i="159"/>
  <c r="N81" i="159"/>
  <c r="N82" i="159"/>
  <c r="O92" i="159"/>
  <c r="N93" i="159"/>
  <c r="N94" i="159"/>
  <c r="M85" i="159"/>
  <c r="M86" i="159"/>
  <c r="N84" i="159"/>
  <c r="O96" i="159" l="1"/>
  <c r="N97" i="159"/>
  <c r="N98" i="159"/>
  <c r="O78" i="159"/>
  <c r="O77" i="159"/>
  <c r="P76" i="159"/>
  <c r="O100" i="159"/>
  <c r="N101" i="159"/>
  <c r="N102" i="159"/>
  <c r="O84" i="159"/>
  <c r="N85" i="159"/>
  <c r="N86" i="159"/>
  <c r="O82" i="159"/>
  <c r="O81" i="159"/>
  <c r="P80" i="159"/>
  <c r="O104" i="159"/>
  <c r="N105" i="159"/>
  <c r="N106" i="159"/>
  <c r="O94" i="159"/>
  <c r="O93" i="159"/>
  <c r="P92" i="159"/>
  <c r="O90" i="159"/>
  <c r="O89" i="159"/>
  <c r="P88" i="159"/>
  <c r="Q76" i="159" l="1"/>
  <c r="P77" i="159"/>
  <c r="P78" i="159"/>
  <c r="O106" i="159"/>
  <c r="O105" i="159"/>
  <c r="P104" i="159"/>
  <c r="O86" i="159"/>
  <c r="O85" i="159"/>
  <c r="P84" i="159"/>
  <c r="Q88" i="159"/>
  <c r="P89" i="159"/>
  <c r="P90" i="159"/>
  <c r="Q80" i="159"/>
  <c r="P81" i="159"/>
  <c r="P82" i="159"/>
  <c r="Q92" i="159"/>
  <c r="P93" i="159"/>
  <c r="P94" i="159"/>
  <c r="O102" i="159"/>
  <c r="O101" i="159"/>
  <c r="P100" i="159"/>
  <c r="O98" i="159"/>
  <c r="O97" i="159"/>
  <c r="P96" i="159"/>
  <c r="Q93" i="159" l="1"/>
  <c r="Q94" i="159"/>
  <c r="Q96" i="159"/>
  <c r="P97" i="159"/>
  <c r="P98" i="159"/>
  <c r="Q104" i="159"/>
  <c r="P105" i="159"/>
  <c r="P106" i="159"/>
  <c r="Q89" i="159"/>
  <c r="Q90" i="159"/>
  <c r="Q84" i="159"/>
  <c r="P85" i="159"/>
  <c r="P86" i="159"/>
  <c r="Q100" i="159"/>
  <c r="P101" i="159"/>
  <c r="P102" i="159"/>
  <c r="Q81" i="159"/>
  <c r="Q82" i="159"/>
  <c r="Q77" i="159"/>
  <c r="Q78" i="159"/>
  <c r="Q85" i="159" l="1"/>
  <c r="Q86" i="159"/>
  <c r="Q97" i="159"/>
  <c r="Q98" i="159"/>
  <c r="Q101" i="159"/>
  <c r="Q102" i="159"/>
  <c r="Q105" i="159"/>
  <c r="Q106" i="159"/>
  <c r="L5" i="120" l="1"/>
  <c r="L5" i="112" l="1"/>
  <c r="M5" i="112" s="1"/>
  <c r="M8" i="112" s="1"/>
  <c r="L15" i="75" l="1"/>
  <c r="L24" i="95" l="1"/>
  <c r="B15" i="144" l="1"/>
  <c r="C15" i="144"/>
  <c r="C14" i="144"/>
  <c r="B14" i="144"/>
  <c r="C13" i="144"/>
  <c r="B13" i="144"/>
  <c r="C20" i="144" l="1"/>
  <c r="B20" i="144"/>
  <c r="L12" i="88" l="1"/>
  <c r="C28" i="144" l="1"/>
  <c r="C27" i="144"/>
  <c r="C26" i="144"/>
  <c r="C25" i="144"/>
  <c r="C24" i="144"/>
  <c r="C23" i="144"/>
  <c r="C22" i="144"/>
  <c r="C21" i="144"/>
  <c r="C19" i="144"/>
  <c r="C18" i="144"/>
  <c r="C16" i="144"/>
  <c r="C12" i="144"/>
  <c r="C11" i="144"/>
  <c r="C10" i="144"/>
  <c r="C9" i="144"/>
  <c r="C8" i="144"/>
  <c r="C7" i="144"/>
  <c r="C6" i="144"/>
  <c r="C5" i="144"/>
  <c r="C3" i="144"/>
  <c r="B28" i="144"/>
  <c r="B27" i="144"/>
  <c r="B24" i="144"/>
  <c r="B23" i="144"/>
  <c r="B10" i="144"/>
  <c r="B9" i="144"/>
  <c r="B8" i="144"/>
  <c r="B7" i="144"/>
  <c r="B26" i="144"/>
  <c r="B25" i="144"/>
  <c r="B22" i="144"/>
  <c r="B21" i="144"/>
  <c r="B19" i="144"/>
  <c r="B18" i="144"/>
  <c r="B16" i="144"/>
  <c r="B12" i="144"/>
  <c r="B11" i="144"/>
  <c r="B6" i="144"/>
  <c r="B5" i="144"/>
  <c r="B3" i="144"/>
  <c r="L6" i="65" l="1"/>
  <c r="L8" i="65" l="1"/>
  <c r="L7" i="65"/>
  <c r="L6" i="113"/>
  <c r="L29" i="100"/>
  <c r="L21" i="116"/>
  <c r="L6" i="126"/>
  <c r="L7" i="74"/>
  <c r="L20" i="88"/>
  <c r="L13" i="16"/>
  <c r="L12" i="16"/>
  <c r="L8" i="16"/>
  <c r="L7" i="16"/>
  <c r="L6" i="16"/>
  <c r="L5" i="16"/>
  <c r="L11" i="16"/>
  <c r="L10" i="16"/>
  <c r="L10" i="67"/>
  <c r="L14" i="75"/>
  <c r="L31" i="100"/>
  <c r="L24" i="125"/>
  <c r="L12" i="125"/>
  <c r="L4" i="120" l="1"/>
  <c r="L9" i="90" l="1"/>
  <c r="L5" i="15" l="1"/>
  <c r="L9" i="85"/>
  <c r="L6" i="85"/>
  <c r="L6" i="88"/>
  <c r="L7" i="75"/>
  <c r="L21" i="126"/>
  <c r="L19" i="65"/>
  <c r="L9" i="65" l="1"/>
  <c r="L10" i="120"/>
  <c r="L10" i="119"/>
  <c r="O19" i="8"/>
  <c r="P19" i="8"/>
  <c r="L10" i="65"/>
  <c r="L13" i="65"/>
  <c r="L14" i="65"/>
  <c r="L17" i="65"/>
  <c r="L18" i="65"/>
  <c r="L9" i="113"/>
  <c r="L5" i="67"/>
  <c r="L11" i="67"/>
  <c r="L25" i="67" s="1"/>
  <c r="L12" i="67"/>
  <c r="L13" i="67"/>
  <c r="L16" i="67"/>
  <c r="L28" i="95"/>
  <c r="L16" i="100"/>
  <c r="L21" i="100"/>
  <c r="L5" i="116"/>
  <c r="L9" i="116"/>
  <c r="L10" i="116"/>
  <c r="L12" i="116"/>
  <c r="L15" i="116"/>
  <c r="L26" i="116"/>
  <c r="L14" i="123"/>
  <c r="L10" i="122"/>
  <c r="L8" i="112"/>
  <c r="L33" i="69"/>
  <c r="L43" i="69" s="1"/>
  <c r="L9" i="126"/>
  <c r="L24" i="126" s="1"/>
  <c r="L18" i="126"/>
  <c r="L19" i="126"/>
  <c r="L27" i="125"/>
  <c r="L33" i="125" s="1"/>
  <c r="L19" i="140"/>
  <c r="L10" i="147"/>
  <c r="L11" i="153"/>
  <c r="L21" i="153"/>
  <c r="L22" i="153"/>
  <c r="L14" i="133"/>
  <c r="L11" i="132"/>
  <c r="L22" i="132" s="1"/>
  <c r="L12" i="132"/>
  <c r="L18" i="136"/>
  <c r="L14" i="74"/>
  <c r="L51" i="74"/>
  <c r="L8" i="77"/>
  <c r="L18" i="77"/>
  <c r="L19" i="75"/>
  <c r="L13" i="80"/>
  <c r="L5" i="79"/>
  <c r="L16" i="79"/>
  <c r="L8" i="88"/>
  <c r="L10" i="88"/>
  <c r="L29" i="88" s="1"/>
  <c r="L22" i="88"/>
  <c r="L24" i="88"/>
  <c r="L11" i="86"/>
  <c r="L16" i="135"/>
  <c r="L15" i="85"/>
  <c r="L7" i="83"/>
  <c r="L13" i="83" s="1"/>
  <c r="L4" i="15"/>
  <c r="L8" i="15"/>
  <c r="L12" i="15"/>
  <c r="L9" i="16"/>
  <c r="L17" i="16" s="1"/>
  <c r="L14" i="16"/>
  <c r="L15" i="90"/>
  <c r="L6" i="101"/>
  <c r="L11" i="101"/>
  <c r="L13" i="137"/>
  <c r="L17" i="134"/>
  <c r="L6" i="102"/>
  <c r="L8" i="102"/>
  <c r="L10" i="102"/>
  <c r="L16" i="102"/>
  <c r="M9" i="141"/>
  <c r="M18" i="141"/>
  <c r="O21" i="8" l="1"/>
  <c r="F16" i="105" s="1"/>
  <c r="L32" i="116"/>
  <c r="L35" i="100"/>
  <c r="L22" i="65"/>
  <c r="M24" i="141"/>
  <c r="L4" i="141"/>
  <c r="K16" i="100" l="1"/>
  <c r="K12" i="132"/>
  <c r="K33" i="69"/>
  <c r="K21" i="116"/>
  <c r="B9" i="117"/>
  <c r="K17" i="65"/>
  <c r="K14" i="65"/>
  <c r="K13" i="75" l="1"/>
  <c r="K6" i="113"/>
  <c r="K22" i="153" l="1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5" i="120"/>
  <c r="K9" i="116" l="1"/>
  <c r="K20" i="141"/>
  <c r="J12" i="8"/>
  <c r="R14" i="141" l="1"/>
  <c r="K6" i="102"/>
  <c r="K8" i="102"/>
  <c r="K10" i="102"/>
  <c r="K17" i="134"/>
  <c r="K13" i="137"/>
  <c r="K6" i="101"/>
  <c r="K11" i="101" s="1"/>
  <c r="K15" i="90"/>
  <c r="L20" i="141" s="1"/>
  <c r="K5" i="16"/>
  <c r="K6" i="16"/>
  <c r="K7" i="16"/>
  <c r="K8" i="16"/>
  <c r="K9" i="16"/>
  <c r="K10" i="16"/>
  <c r="K11" i="16"/>
  <c r="K12" i="16"/>
  <c r="K13" i="16"/>
  <c r="K14" i="16"/>
  <c r="K4" i="15"/>
  <c r="K12" i="15" s="1"/>
  <c r="K5" i="15"/>
  <c r="K8" i="15"/>
  <c r="K13" i="83"/>
  <c r="K9" i="85"/>
  <c r="K15" i="85" s="1"/>
  <c r="K6" i="135"/>
  <c r="K7" i="135"/>
  <c r="K8" i="135"/>
  <c r="K9" i="135"/>
  <c r="K10" i="135"/>
  <c r="K11" i="135"/>
  <c r="K11" i="86"/>
  <c r="I6" i="88"/>
  <c r="K8" i="88"/>
  <c r="K29" i="88" s="1"/>
  <c r="K10" i="88"/>
  <c r="K22" i="88"/>
  <c r="K24" i="88"/>
  <c r="K5" i="79"/>
  <c r="K13" i="80"/>
  <c r="K7" i="75"/>
  <c r="K19" i="75" s="1"/>
  <c r="K8" i="77"/>
  <c r="K18" i="77" s="1"/>
  <c r="K7" i="74"/>
  <c r="K14" i="74"/>
  <c r="K18" i="136"/>
  <c r="K11" i="132"/>
  <c r="K14" i="133"/>
  <c r="K21" i="153"/>
  <c r="K11" i="153"/>
  <c r="K6" i="153"/>
  <c r="K10" i="147"/>
  <c r="K19" i="140"/>
  <c r="K12" i="125"/>
  <c r="K33" i="125" s="1"/>
  <c r="K21" i="126"/>
  <c r="K19" i="126"/>
  <c r="K18" i="126"/>
  <c r="K6" i="126"/>
  <c r="K5" i="112"/>
  <c r="K8" i="112" s="1"/>
  <c r="K10" i="122"/>
  <c r="K14" i="123"/>
  <c r="J26" i="116"/>
  <c r="K26" i="116"/>
  <c r="I26" i="116"/>
  <c r="K5" i="116"/>
  <c r="K10" i="116"/>
  <c r="K12" i="116"/>
  <c r="K15" i="116"/>
  <c r="K21" i="100"/>
  <c r="K35" i="100"/>
  <c r="K28" i="95"/>
  <c r="K5" i="67"/>
  <c r="K11" i="67"/>
  <c r="K12" i="67"/>
  <c r="K13" i="67"/>
  <c r="K16" i="67"/>
  <c r="K9" i="113"/>
  <c r="K6" i="65"/>
  <c r="K10" i="65"/>
  <c r="K13" i="65"/>
  <c r="K18" i="65"/>
  <c r="K19" i="65"/>
  <c r="K32" i="116" l="1"/>
  <c r="K17" i="16"/>
  <c r="K16" i="135"/>
  <c r="K22" i="65"/>
  <c r="K25" i="67"/>
  <c r="K43" i="69"/>
  <c r="K24" i="126"/>
  <c r="K22" i="132"/>
  <c r="K51" i="74"/>
  <c r="K16" i="102"/>
  <c r="J19" i="8"/>
  <c r="K5" i="119"/>
  <c r="K10" i="119" s="1"/>
  <c r="K4" i="120"/>
  <c r="K10" i="120" s="1"/>
  <c r="L18" i="141"/>
  <c r="L9" i="141"/>
  <c r="L8" i="141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K3" i="141"/>
  <c r="J11" i="135"/>
  <c r="J10" i="135"/>
  <c r="J9" i="135"/>
  <c r="J8" i="135"/>
  <c r="J7" i="135"/>
  <c r="J6" i="135"/>
  <c r="J16" i="135" l="1"/>
  <c r="J9" i="90"/>
  <c r="J17" i="65" l="1"/>
  <c r="J14" i="16"/>
  <c r="J8" i="88"/>
  <c r="J12" i="125"/>
  <c r="J27" i="125"/>
  <c r="J18" i="126"/>
  <c r="J21" i="126"/>
  <c r="J19" i="126"/>
  <c r="J11" i="123"/>
  <c r="J13" i="95"/>
  <c r="J23" i="67"/>
  <c r="I9" i="153"/>
  <c r="J11" i="153" l="1"/>
  <c r="J16" i="100"/>
  <c r="J20" i="116"/>
  <c r="J21" i="153"/>
  <c r="J22" i="153"/>
  <c r="J8" i="65"/>
  <c r="J7" i="65"/>
  <c r="J13" i="65"/>
  <c r="J21" i="100" l="1"/>
  <c r="J9" i="116"/>
  <c r="J9" i="136"/>
  <c r="J25" i="116"/>
  <c r="J24" i="116"/>
  <c r="J10" i="116"/>
  <c r="J12" i="116"/>
  <c r="J14" i="102"/>
  <c r="J28" i="100" l="1"/>
  <c r="J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6" i="153"/>
  <c r="I6" i="153"/>
  <c r="J9" i="126"/>
  <c r="J6" i="126"/>
  <c r="J6" i="65"/>
  <c r="J4" i="15" l="1"/>
  <c r="J9" i="85"/>
  <c r="J8" i="77"/>
  <c r="J14" i="74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J16" i="102"/>
  <c r="J17" i="134"/>
  <c r="J13" i="137"/>
  <c r="J6" i="101"/>
  <c r="J11" i="101" s="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5" i="85"/>
  <c r="J11" i="86"/>
  <c r="J6" i="88"/>
  <c r="J10" i="88"/>
  <c r="J12" i="88"/>
  <c r="J22" i="88"/>
  <c r="J16" i="79"/>
  <c r="J13" i="80"/>
  <c r="J19" i="75"/>
  <c r="J18" i="77"/>
  <c r="J7" i="74"/>
  <c r="J51" i="74" s="1"/>
  <c r="J18" i="136"/>
  <c r="J12" i="132"/>
  <c r="J14" i="133"/>
  <c r="J10" i="147"/>
  <c r="J19" i="140"/>
  <c r="J33" i="125"/>
  <c r="J24" i="126"/>
  <c r="J43" i="69"/>
  <c r="J8" i="112"/>
  <c r="J10" i="122"/>
  <c r="J14" i="123"/>
  <c r="J5" i="116"/>
  <c r="J15" i="116"/>
  <c r="J21" i="116"/>
  <c r="J35" i="100"/>
  <c r="J28" i="95"/>
  <c r="H5" i="67"/>
  <c r="I5" i="67"/>
  <c r="J5" i="67"/>
  <c r="J11" i="67"/>
  <c r="J12" i="67"/>
  <c r="J13" i="67"/>
  <c r="J16" i="67"/>
  <c r="J6" i="113"/>
  <c r="J9" i="113" s="1"/>
  <c r="J9" i="65"/>
  <c r="J10" i="65"/>
  <c r="J14" i="65"/>
  <c r="K19" i="8"/>
  <c r="J10" i="120"/>
  <c r="J22" i="65" l="1"/>
  <c r="J29" i="88"/>
  <c r="J25" i="67"/>
  <c r="J11" i="64"/>
  <c r="J32" i="116"/>
  <c r="J22" i="132"/>
  <c r="J17" i="16"/>
  <c r="I5" i="118" l="1"/>
  <c r="J5" i="118" s="1"/>
  <c r="J10" i="118" l="1"/>
  <c r="K5" i="118"/>
  <c r="I5" i="120"/>
  <c r="K10" i="118" l="1"/>
  <c r="L5" i="118"/>
  <c r="I10" i="88"/>
  <c r="M5" i="118" l="1"/>
  <c r="L10" i="118"/>
  <c r="I5" i="15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M10" i="118" l="1"/>
  <c r="N5" i="118"/>
  <c r="I5" i="16"/>
  <c r="I6" i="16"/>
  <c r="I7" i="16"/>
  <c r="I8" i="16"/>
  <c r="I9" i="16"/>
  <c r="I10" i="16"/>
  <c r="I11" i="16"/>
  <c r="I12" i="16"/>
  <c r="I13" i="16"/>
  <c r="I14" i="16"/>
  <c r="I4" i="15"/>
  <c r="I8" i="15"/>
  <c r="I13" i="83"/>
  <c r="I9" i="85"/>
  <c r="I15" i="85" s="1"/>
  <c r="I16" i="135"/>
  <c r="I11" i="86"/>
  <c r="I24" i="88"/>
  <c r="I22" i="88"/>
  <c r="I18" i="79"/>
  <c r="I8" i="88"/>
  <c r="I12" i="88"/>
  <c r="I5" i="79"/>
  <c r="I16" i="79"/>
  <c r="I23" i="79" s="1"/>
  <c r="I13" i="80"/>
  <c r="I19" i="75"/>
  <c r="I18" i="77"/>
  <c r="I14" i="74"/>
  <c r="I7" i="74"/>
  <c r="I18" i="136"/>
  <c r="I11" i="132"/>
  <c r="I12" i="132"/>
  <c r="I14" i="133"/>
  <c r="I22" i="153"/>
  <c r="I21" i="153"/>
  <c r="I5" i="147"/>
  <c r="I10" i="147" s="1"/>
  <c r="I19" i="140"/>
  <c r="I33" i="125"/>
  <c r="I21" i="126"/>
  <c r="I9" i="126"/>
  <c r="I43" i="69"/>
  <c r="I8" i="112"/>
  <c r="I10" i="122"/>
  <c r="I14" i="123"/>
  <c r="I12" i="116"/>
  <c r="I10" i="116"/>
  <c r="I5" i="116"/>
  <c r="I15" i="116"/>
  <c r="I21" i="116"/>
  <c r="I35" i="100"/>
  <c r="I28" i="95"/>
  <c r="I13" i="67"/>
  <c r="I25" i="67" s="1"/>
  <c r="I6" i="113"/>
  <c r="I9" i="113" s="1"/>
  <c r="I13" i="65"/>
  <c r="I10" i="65"/>
  <c r="I9" i="65"/>
  <c r="I14" i="65"/>
  <c r="I7" i="65"/>
  <c r="I8" i="65"/>
  <c r="I7" i="64"/>
  <c r="I6" i="64"/>
  <c r="I19" i="8"/>
  <c r="I10" i="118"/>
  <c r="I10" i="120"/>
  <c r="J18" i="141"/>
  <c r="J9" i="141"/>
  <c r="J8" i="141"/>
  <c r="J3" i="141"/>
  <c r="N10" i="118" l="1"/>
  <c r="O10" i="118"/>
  <c r="F15" i="105" s="1"/>
  <c r="I12" i="15"/>
  <c r="I22" i="132"/>
  <c r="I22" i="65"/>
  <c r="I11" i="64"/>
  <c r="I32" i="116"/>
  <c r="I6" i="115" s="1"/>
  <c r="I24" i="126"/>
  <c r="I51" i="74"/>
  <c r="I17" i="16"/>
  <c r="I29" i="88"/>
  <c r="I4" i="141" l="1"/>
  <c r="M3" i="155" l="1"/>
  <c r="H5" i="120" l="1"/>
  <c r="H5" i="15" l="1"/>
  <c r="H22" i="88"/>
  <c r="H23" i="88"/>
  <c r="H18" i="79"/>
  <c r="H16" i="79"/>
  <c r="H5" i="79"/>
  <c r="H31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5" i="85" s="1"/>
  <c r="G16" i="135"/>
  <c r="G11" i="86"/>
  <c r="G12" i="88"/>
  <c r="G10" i="88"/>
  <c r="G6" i="88"/>
  <c r="G18" i="79"/>
  <c r="G16" i="79"/>
  <c r="G5" i="79"/>
  <c r="G23" i="79" s="1"/>
  <c r="G13" i="80"/>
  <c r="G19" i="75"/>
  <c r="G8" i="77"/>
  <c r="G18" i="77" s="1"/>
  <c r="G7" i="74"/>
  <c r="G51" i="74" s="1"/>
  <c r="G18" i="136"/>
  <c r="H17" i="132"/>
  <c r="G17" i="132"/>
  <c r="G12" i="132"/>
  <c r="G11" i="132"/>
  <c r="G9" i="132"/>
  <c r="G7" i="132"/>
  <c r="G14" i="133"/>
  <c r="G22" i="153"/>
  <c r="G21" i="153"/>
  <c r="G9" i="153"/>
  <c r="G6" i="153"/>
  <c r="G10" i="147"/>
  <c r="G19" i="140"/>
  <c r="G33" i="125"/>
  <c r="G20" i="126"/>
  <c r="G6" i="126"/>
  <c r="G43" i="69"/>
  <c r="G8" i="112"/>
  <c r="G10" i="122"/>
  <c r="G10" i="123"/>
  <c r="G14" i="123" s="1"/>
  <c r="G21" i="116"/>
  <c r="G19" i="116"/>
  <c r="G17" i="116"/>
  <c r="G15" i="116"/>
  <c r="G12" i="116"/>
  <c r="G10" i="116"/>
  <c r="G5" i="116"/>
  <c r="G35" i="100"/>
  <c r="G28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9" i="8"/>
  <c r="G10" i="118"/>
  <c r="G5" i="120"/>
  <c r="G4" i="120"/>
  <c r="H4" i="141"/>
  <c r="H3" i="141"/>
  <c r="G7" i="141"/>
  <c r="H7" i="141" s="1"/>
  <c r="I7" i="141" s="1"/>
  <c r="J7" i="141" s="1"/>
  <c r="L24" i="141" s="1"/>
  <c r="G28" i="153" l="1"/>
  <c r="G12" i="15"/>
  <c r="K24" i="141"/>
  <c r="R10" i="141" s="1"/>
  <c r="J5" i="119"/>
  <c r="J10" i="119" s="1"/>
  <c r="I5" i="119"/>
  <c r="I10" i="119" s="1"/>
  <c r="J24" i="141"/>
  <c r="G10" i="120"/>
  <c r="G25" i="67"/>
  <c r="G32" i="116"/>
  <c r="G6" i="115" s="1"/>
  <c r="G24" i="126"/>
  <c r="G22" i="65"/>
  <c r="G22" i="132"/>
  <c r="G29" i="88"/>
  <c r="G17" i="16"/>
  <c r="G5" i="119"/>
  <c r="G10" i="119" s="1"/>
  <c r="H24" i="141"/>
  <c r="F13" i="135" l="1"/>
  <c r="H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H22" i="65" s="1"/>
  <c r="F5" i="119"/>
  <c r="F10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5" i="85" s="1"/>
  <c r="F16" i="135"/>
  <c r="F11" i="86"/>
  <c r="F21" i="88"/>
  <c r="F20" i="88"/>
  <c r="F12" i="88"/>
  <c r="F10" i="88"/>
  <c r="F6" i="88"/>
  <c r="F16" i="79"/>
  <c r="F23" i="79" s="1"/>
  <c r="F13" i="80"/>
  <c r="F19" i="75"/>
  <c r="F8" i="77"/>
  <c r="F18" i="77" s="1"/>
  <c r="F7" i="74"/>
  <c r="F51" i="74" s="1"/>
  <c r="F18" i="136"/>
  <c r="F17" i="132"/>
  <c r="F12" i="132"/>
  <c r="F11" i="132"/>
  <c r="F9" i="132"/>
  <c r="F7" i="132"/>
  <c r="F14" i="133"/>
  <c r="F16" i="153"/>
  <c r="F17" i="153"/>
  <c r="F22" i="153"/>
  <c r="F21" i="153"/>
  <c r="F10" i="147"/>
  <c r="F19" i="140"/>
  <c r="F33" i="125"/>
  <c r="F24" i="126"/>
  <c r="F27" i="69"/>
  <c r="F43" i="69" s="1"/>
  <c r="F8" i="112"/>
  <c r="F10" i="122"/>
  <c r="F14" i="123"/>
  <c r="F19" i="116"/>
  <c r="F17" i="116"/>
  <c r="F15" i="116"/>
  <c r="F12" i="116"/>
  <c r="F10" i="116"/>
  <c r="F5" i="116"/>
  <c r="F26" i="100"/>
  <c r="F25" i="100"/>
  <c r="F28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0" i="118"/>
  <c r="F5" i="120"/>
  <c r="F10" i="120" s="1"/>
  <c r="G21" i="141"/>
  <c r="G13" i="141"/>
  <c r="G12" i="141"/>
  <c r="G4" i="141"/>
  <c r="F22" i="65" l="1"/>
  <c r="F25" i="67"/>
  <c r="F19" i="8"/>
  <c r="F35" i="100"/>
  <c r="F22" i="132"/>
  <c r="F12" i="15"/>
  <c r="F17" i="16"/>
  <c r="G24" i="141"/>
  <c r="F32" i="116"/>
  <c r="F29" i="88"/>
  <c r="F10" i="115" l="1"/>
  <c r="G10" i="115"/>
  <c r="H23" i="79"/>
  <c r="G3" i="155" l="1"/>
  <c r="K3" i="155"/>
  <c r="E3" i="155"/>
  <c r="I3" i="155"/>
  <c r="E9" i="8" l="1"/>
  <c r="E6" i="101" l="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E28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H22" i="153" l="1"/>
  <c r="H21" i="153" l="1"/>
  <c r="H33" i="125"/>
  <c r="H5" i="119"/>
  <c r="C25" i="67"/>
  <c r="D25" i="67"/>
  <c r="H25" i="67"/>
  <c r="E25" i="67"/>
  <c r="D14" i="117" l="1"/>
  <c r="D44" i="117"/>
  <c r="D43" i="117"/>
  <c r="D42" i="117"/>
  <c r="D29" i="117"/>
  <c r="D15" i="117"/>
  <c r="D8" i="117"/>
  <c r="D5" i="117"/>
  <c r="D22" i="117" s="1"/>
  <c r="D4" i="117"/>
  <c r="D21" i="117" l="1"/>
  <c r="D13" i="117"/>
  <c r="D25" i="117"/>
  <c r="D36" i="117"/>
  <c r="D16" i="117"/>
  <c r="D33" i="117"/>
  <c r="E33" i="117" s="1"/>
  <c r="F7" i="105"/>
  <c r="F11" i="105" s="1"/>
  <c r="E18" i="136"/>
  <c r="D18" i="136"/>
  <c r="C18" i="136"/>
  <c r="D22" i="132"/>
  <c r="C22" i="132"/>
  <c r="E22" i="132"/>
  <c r="I24" i="141"/>
  <c r="E36" i="117" l="1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K23" i="79" l="1"/>
  <c r="H29" i="88" l="1"/>
  <c r="E19" i="8"/>
  <c r="H16" i="135" l="1"/>
  <c r="M23" i="79" l="1"/>
  <c r="L18" i="79"/>
  <c r="L23" i="79" s="1"/>
  <c r="C13" i="137" l="1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H16" i="102"/>
  <c r="H17" i="134"/>
  <c r="F14" i="139"/>
  <c r="H11" i="101"/>
  <c r="H15" i="90"/>
  <c r="H17" i="16"/>
  <c r="H12" i="15"/>
  <c r="H13" i="83"/>
  <c r="H15" i="85"/>
  <c r="H11" i="86"/>
  <c r="E50" i="117" l="1"/>
  <c r="E52" i="117" s="1"/>
  <c r="N10" i="115" s="1"/>
  <c r="H13" i="80"/>
  <c r="H19" i="75"/>
  <c r="H18" i="77"/>
  <c r="H51" i="74"/>
  <c r="H18" i="136"/>
  <c r="H22" i="132"/>
  <c r="H14" i="133"/>
  <c r="H10" i="147"/>
  <c r="H19" i="140"/>
  <c r="H24" i="126"/>
  <c r="H43" i="69"/>
  <c r="H8" i="112"/>
  <c r="H10" i="122"/>
  <c r="H14" i="123"/>
  <c r="H32" i="116"/>
  <c r="H6" i="115" s="1"/>
  <c r="H35" i="100"/>
  <c r="H28" i="95"/>
  <c r="H9" i="113"/>
  <c r="H11" i="64"/>
  <c r="E10" i="118"/>
  <c r="E10" i="119"/>
  <c r="E10" i="120"/>
  <c r="F24" i="141"/>
  <c r="E23" i="79"/>
  <c r="E14" i="123"/>
  <c r="E43" i="69"/>
  <c r="D43" i="69"/>
  <c r="C43" i="69"/>
  <c r="B43" i="69"/>
  <c r="E11" i="64"/>
  <c r="D11" i="64"/>
  <c r="C11" i="64"/>
  <c r="B11" i="64"/>
  <c r="D10" i="119"/>
  <c r="M10" i="115" l="1"/>
  <c r="K10" i="115"/>
  <c r="L10" i="115"/>
  <c r="D28" i="153"/>
  <c r="C28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5" i="85"/>
  <c r="C15" i="85"/>
  <c r="B15" i="85"/>
  <c r="D16" i="135"/>
  <c r="C16" i="135"/>
  <c r="B16" i="135"/>
  <c r="D11" i="86"/>
  <c r="C11" i="86"/>
  <c r="B11" i="86"/>
  <c r="D29" i="88"/>
  <c r="C29" i="88"/>
  <c r="B29" i="88"/>
  <c r="D23" i="79"/>
  <c r="C23" i="79"/>
  <c r="B23" i="79"/>
  <c r="D13" i="80"/>
  <c r="C13" i="80"/>
  <c r="B13" i="80"/>
  <c r="D19" i="75"/>
  <c r="C19" i="75"/>
  <c r="B19" i="75"/>
  <c r="D18" i="77"/>
  <c r="C18" i="77"/>
  <c r="B18" i="77"/>
  <c r="D51" i="74"/>
  <c r="C51" i="74"/>
  <c r="B51" i="74"/>
  <c r="B18" i="136"/>
  <c r="B22" i="132"/>
  <c r="D14" i="133"/>
  <c r="C14" i="133"/>
  <c r="B14" i="133"/>
  <c r="D10" i="147"/>
  <c r="C10" i="147"/>
  <c r="D19" i="140"/>
  <c r="C19" i="140"/>
  <c r="B19" i="140"/>
  <c r="D33" i="125"/>
  <c r="C33" i="125"/>
  <c r="B33" i="125"/>
  <c r="D24" i="126"/>
  <c r="C24" i="126"/>
  <c r="B24" i="126"/>
  <c r="D8" i="112"/>
  <c r="C8" i="112"/>
  <c r="B8" i="112"/>
  <c r="D10" i="122"/>
  <c r="C10" i="122"/>
  <c r="B10" i="122"/>
  <c r="D14" i="123"/>
  <c r="C14" i="123"/>
  <c r="B14" i="123"/>
  <c r="D32" i="116"/>
  <c r="D6" i="115" s="1"/>
  <c r="C32" i="116"/>
  <c r="C6" i="115" s="1"/>
  <c r="C10" i="115" s="1"/>
  <c r="B32" i="116"/>
  <c r="B10" i="115"/>
  <c r="D35" i="100"/>
  <c r="C35" i="100"/>
  <c r="B35" i="100"/>
  <c r="D28" i="95"/>
  <c r="C28" i="95"/>
  <c r="B28" i="95"/>
  <c r="B25" i="67"/>
  <c r="D9" i="113"/>
  <c r="C9" i="113"/>
  <c r="B9" i="113"/>
  <c r="D22" i="65"/>
  <c r="C22" i="65"/>
  <c r="B22" i="65"/>
  <c r="C19" i="8" l="1"/>
  <c r="B19" i="8"/>
  <c r="D10" i="118"/>
  <c r="C10" i="118"/>
  <c r="B10" i="118"/>
  <c r="C10" i="119"/>
  <c r="B10" i="119"/>
  <c r="H10" i="120"/>
  <c r="D10" i="120"/>
  <c r="C10" i="120"/>
  <c r="B10" i="120"/>
  <c r="E14" i="139" l="1"/>
  <c r="E15" i="85"/>
  <c r="E16" i="135"/>
  <c r="E11" i="86"/>
  <c r="E29" i="88"/>
  <c r="E51" i="74"/>
  <c r="E19" i="140"/>
  <c r="H10" i="119"/>
  <c r="J23" i="79" l="1"/>
  <c r="D24" i="141" l="1"/>
  <c r="E16" i="102" l="1"/>
  <c r="E11" i="101"/>
  <c r="I28" i="153" l="1"/>
  <c r="H28" i="153"/>
  <c r="E19" i="75"/>
  <c r="E14" i="133"/>
  <c r="N28" i="153" l="1"/>
  <c r="M28" i="153"/>
  <c r="L28" i="153"/>
  <c r="K28" i="153"/>
  <c r="E33" i="125"/>
  <c r="E24" i="126"/>
  <c r="E35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H37" i="128" l="1"/>
  <c r="E37" i="128"/>
  <c r="I22" i="128"/>
  <c r="E8" i="112" l="1"/>
  <c r="H19" i="8"/>
  <c r="D19" i="8"/>
  <c r="E10" i="147" l="1"/>
  <c r="E10" i="122"/>
  <c r="E32" i="116"/>
  <c r="E28" i="95"/>
  <c r="E9" i="113"/>
  <c r="E22" i="65"/>
  <c r="H10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18" i="77"/>
  <c r="D10" i="115" l="1"/>
  <c r="C29" i="128" l="1"/>
  <c r="I29" i="128" s="1"/>
  <c r="C20" i="128"/>
  <c r="I20" i="128" s="1"/>
  <c r="C19" i="128"/>
  <c r="I19" i="128" s="1"/>
  <c r="C18" i="128"/>
  <c r="I18" i="128" s="1"/>
  <c r="I10" i="115" l="1"/>
  <c r="J10" i="115"/>
  <c r="E10" i="115"/>
  <c r="H10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C37" i="128" l="1"/>
  <c r="C38" i="128" s="1"/>
  <c r="I37" i="128"/>
  <c r="J28" i="153" l="1"/>
  <c r="F31" i="105"/>
  <c r="F15" i="153"/>
  <c r="F28" i="153" s="1"/>
  <c r="P13" i="153"/>
</calcChain>
</file>

<file path=xl/sharedStrings.xml><?xml version="1.0" encoding="utf-8"?>
<sst xmlns="http://schemas.openxmlformats.org/spreadsheetml/2006/main" count="1067" uniqueCount="780">
  <si>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</si>
  <si>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</si>
  <si>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</si>
  <si>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</si>
  <si>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</si>
  <si>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</si>
  <si>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</si>
  <si>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</si>
  <si>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</si>
  <si>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</si>
  <si>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</si>
  <si>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</si>
  <si>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</si>
  <si>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</si>
  <si>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</si>
  <si>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</si>
  <si>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</si>
  <si>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</si>
  <si>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</si>
  <si>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</si>
  <si>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</si>
  <si>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</si>
  <si>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</si>
  <si>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</si>
  <si>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</si>
  <si>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</si>
  <si>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</si>
  <si>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</si>
  <si>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</si>
  <si>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</si>
  <si>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</si>
  <si>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</si>
  <si>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</si>
  <si>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</si>
  <si>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</si>
  <si>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</si>
  <si>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</si>
  <si>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</si>
  <si>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</si>
  <si>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</si>
  <si>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Year</t>
  </si>
  <si>
    <t>Awards &amp; Recognition - general, includes medals &amp; pins</t>
  </si>
  <si>
    <t>Awards Banquet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</si>
  <si>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</si>
  <si>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</si>
  <si>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</si>
  <si>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</si>
  <si>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</si>
  <si>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</si>
  <si>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</si>
  <si>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</si>
  <si>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</si>
  <si>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</si>
  <si>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</si>
  <si>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</si>
  <si>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</si>
  <si>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</si>
  <si>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</si>
  <si>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</si>
  <si>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</si>
  <si>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</si>
  <si>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</si>
  <si>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</si>
  <si>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</si>
  <si>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</si>
  <si>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</si>
  <si>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</si>
  <si>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</si>
  <si>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</si>
  <si>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</si>
  <si>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</si>
  <si>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</si>
  <si>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</si>
  <si>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</si>
  <si>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</si>
  <si>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</si>
  <si>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</si>
  <si>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</si>
  <si>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</si>
  <si>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</si>
  <si>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</si>
  <si>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</si>
  <si>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</si>
  <si>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</si>
  <si>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</si>
  <si>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</si>
  <si>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</si>
  <si>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</si>
  <si>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</si>
  <si>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</si>
  <si>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</si>
  <si>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</si>
  <si>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</si>
  <si>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</si>
  <si>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</si>
  <si>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</si>
  <si>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</si>
  <si>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</si>
  <si>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</si>
  <si>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</si>
  <si>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</si>
  <si>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</si>
  <si>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</si>
  <si>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</si>
  <si>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</si>
  <si>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</si>
  <si>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</si>
  <si>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</si>
  <si>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</si>
  <si>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</si>
  <si>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</si>
  <si>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</si>
  <si>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</si>
  <si>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</si>
  <si>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</si>
  <si>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</si>
  <si>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</si>
  <si>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</si>
  <si>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</si>
  <si>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</si>
  <si>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</si>
  <si>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</si>
  <si>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</si>
  <si>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</si>
  <si>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</si>
  <si>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</si>
  <si>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</si>
  <si>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</si>
  <si>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</si>
  <si>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</si>
  <si>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</si>
  <si>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</si>
  <si>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</si>
  <si>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</si>
  <si>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</si>
  <si>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</si>
  <si>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</si>
  <si>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</si>
  <si>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</si>
  <si>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</si>
  <si>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</si>
  <si>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</si>
  <si>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</si>
  <si>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</si>
  <si>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</si>
  <si>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</si>
  <si>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</si>
  <si>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</si>
  <si>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</si>
  <si>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</si>
  <si>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</si>
  <si>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</si>
  <si>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</si>
  <si>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</si>
  <si>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</si>
  <si>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</si>
  <si>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</si>
  <si>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</si>
  <si>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</si>
  <si>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</si>
  <si>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</si>
  <si>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</si>
  <si>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</si>
  <si>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</si>
  <si>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</si>
  <si>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</si>
  <si>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</si>
  <si>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</si>
  <si>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</si>
  <si>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</si>
  <si>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</si>
  <si>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</si>
  <si>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</si>
  <si>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</si>
  <si>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</si>
  <si>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</si>
  <si>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</si>
  <si>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</si>
  <si>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</si>
  <si>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</si>
  <si>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</si>
  <si>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</si>
  <si>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</si>
  <si>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</si>
  <si>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</si>
  <si>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</si>
  <si>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</si>
  <si>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</si>
  <si>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</si>
  <si>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</si>
  <si>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</si>
  <si>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</si>
  <si>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</si>
  <si>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</si>
  <si>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</si>
  <si>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</si>
  <si>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</si>
  <si>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</si>
  <si>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</si>
  <si>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</si>
  <si>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</si>
  <si>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</si>
  <si>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</si>
  <si>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</si>
  <si>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</si>
  <si>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</si>
  <si>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</si>
  <si>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</si>
  <si>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</si>
  <si>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</si>
  <si>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</si>
  <si>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</si>
  <si>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</si>
  <si>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</si>
  <si>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</si>
  <si>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</si>
  <si>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</si>
  <si>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</si>
  <si>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</si>
  <si>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</si>
  <si>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</si>
  <si>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</si>
  <si>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</si>
  <si>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</si>
  <si>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</si>
  <si>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</si>
  <si>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</si>
  <si>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</si>
  <si>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</si>
  <si>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</si>
  <si>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</si>
  <si>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</si>
  <si>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</si>
  <si>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</si>
  <si>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</si>
  <si>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</si>
  <si>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</si>
  <si>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</si>
  <si>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</si>
  <si>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</si>
  <si>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</si>
  <si>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</si>
  <si>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</si>
  <si>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</si>
  <si>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</si>
  <si>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</si>
  <si>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</si>
  <si>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</si>
  <si>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</si>
  <si>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</si>
  <si>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</si>
  <si>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</si>
  <si>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</si>
  <si>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</si>
  <si>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</si>
  <si>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</si>
  <si>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</si>
  <si>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</si>
  <si>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</si>
  <si>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</si>
  <si>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</si>
  <si>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</si>
  <si>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DSHS First Responder Organization</t>
  </si>
  <si>
    <t>Replacement flags</t>
  </si>
  <si>
    <t>Safe-D Association</t>
  </si>
  <si>
    <t>Repairs; troubleshoot</t>
  </si>
  <si>
    <t>Annual Report</t>
  </si>
  <si>
    <t>Mileage Reimbursement per Federal standard</t>
  </si>
  <si>
    <t xml:space="preserve">Oak Hill hosted CAFCA meeting </t>
  </si>
  <si>
    <t>Fire Inspector CE training</t>
  </si>
  <si>
    <t>ICC Region 10 plan review for inspections</t>
  </si>
  <si>
    <t>Arson/Fire Cause Conference (TFIC)</t>
  </si>
  <si>
    <t>Inspection / Investigation equipment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</si>
  <si>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</si>
  <si>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</si>
  <si>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</si>
  <si>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</si>
  <si>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</si>
  <si>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</si>
  <si>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</si>
  <si>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</si>
  <si>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</si>
  <si>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</si>
  <si>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</si>
  <si>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</si>
  <si>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</si>
  <si>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</si>
  <si>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</si>
  <si>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</si>
  <si>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</si>
  <si>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</si>
  <si>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</si>
  <si>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</si>
  <si>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Sales tax</t>
  </si>
  <si>
    <t>Paychex delivery fees (4) plus  Lone Star</t>
  </si>
  <si>
    <t>SUI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</si>
  <si>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</si>
  <si>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</si>
  <si>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</si>
  <si>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</si>
  <si>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</si>
  <si>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</si>
  <si>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FEMA Match (vehicle)</t>
  </si>
  <si>
    <t>Estimate 2011</t>
  </si>
  <si>
    <t>Central Texas Fire Investigators</t>
  </si>
  <si>
    <t>TML - return of equity from past years</t>
  </si>
  <si>
    <t>Family picnic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</si>
  <si>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</si>
  <si>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</si>
  <si>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</si>
  <si>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</si>
  <si>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</si>
  <si>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</si>
  <si>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</si>
  <si>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</si>
  <si>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</si>
  <si>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</si>
  <si>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</si>
  <si>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</si>
  <si>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</si>
  <si>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</si>
  <si>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</si>
  <si>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Locution Station Alerting License &amp; Hardware maint.</t>
  </si>
  <si>
    <t>Sweatshirts</t>
  </si>
  <si>
    <t>Department team-sponsorship</t>
  </si>
  <si>
    <t>Septic inspection and maintenance CD</t>
  </si>
  <si>
    <t>painting drill tower exterior handrails</t>
  </si>
  <si>
    <t>Revenue Rescue (&amp; other billing)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</si>
  <si>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</si>
  <si>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</si>
  <si>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</si>
  <si>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</si>
  <si>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</si>
  <si>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</si>
  <si>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</si>
  <si>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</si>
  <si>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</si>
  <si>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DSHS EMS Coordinator</t>
  </si>
  <si>
    <t>Misc. grant matching (LCRA/PEC, Motorola, etc.)</t>
  </si>
  <si>
    <t>EMS Training (advanced)</t>
  </si>
  <si>
    <t>FY 2012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</si>
  <si>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</si>
  <si>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</si>
  <si>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</si>
  <si>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</si>
  <si>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</si>
  <si>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</si>
  <si>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</si>
  <si>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</si>
  <si>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</si>
  <si>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</si>
  <si>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</si>
  <si>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</si>
  <si>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</si>
  <si>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</si>
  <si>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</si>
  <si>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</si>
  <si>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</si>
  <si>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</si>
  <si>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</si>
  <si>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</si>
  <si>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</si>
  <si>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</si>
  <si>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</si>
  <si>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</si>
  <si>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</si>
  <si>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</si>
  <si>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</si>
  <si>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</si>
  <si>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</si>
  <si>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</si>
  <si>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</si>
  <si>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Wellness Program (Physicals &amp; Workout Equipment)</t>
  </si>
  <si>
    <t>moved to Office Supplies</t>
  </si>
  <si>
    <t>Assorted general supplies (Home Depot, Lowes)</t>
  </si>
  <si>
    <t>Vacuum cleaners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</si>
  <si>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</si>
  <si>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</si>
  <si>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</si>
  <si>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</si>
  <si>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</si>
  <si>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</si>
  <si>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</si>
  <si>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</si>
  <si>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</si>
  <si>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</si>
  <si>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</si>
  <si>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</si>
  <si>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</si>
  <si>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</si>
  <si>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</si>
  <si>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</si>
  <si>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</si>
  <si>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</si>
  <si>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</si>
  <si>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</si>
  <si>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</si>
  <si>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</si>
  <si>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</si>
  <si>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</si>
  <si>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</si>
  <si>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</si>
  <si>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</si>
  <si>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</si>
  <si>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</si>
  <si>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</si>
  <si>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</si>
  <si>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</si>
  <si>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</si>
  <si>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</si>
  <si>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</si>
  <si>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</si>
  <si>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</si>
  <si>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</si>
  <si>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</si>
  <si>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</si>
  <si>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</si>
  <si>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</si>
  <si>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</si>
  <si>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</si>
  <si>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</si>
  <si>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</si>
  <si>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</si>
  <si>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</si>
  <si>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</si>
  <si>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</si>
  <si>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</si>
  <si>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</si>
  <si>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</si>
  <si>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</si>
  <si>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</si>
  <si>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</si>
  <si>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</si>
  <si>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</si>
  <si>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</si>
  <si>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</si>
  <si>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</si>
  <si>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</si>
  <si>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</si>
  <si>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</si>
  <si>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</si>
  <si>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</si>
  <si>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</si>
  <si>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</si>
  <si>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</si>
  <si>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</si>
  <si>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Station 301 kitchen remodel</t>
  </si>
  <si>
    <t>Folding Water Tank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</si>
  <si>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</si>
  <si>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</si>
  <si>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</si>
  <si>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</si>
  <si>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</si>
  <si>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</si>
  <si>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</si>
  <si>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</si>
  <si>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</si>
  <si>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</si>
  <si>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</si>
  <si>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</si>
  <si>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</si>
  <si>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</si>
  <si>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</si>
  <si>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Vending machines</t>
  </si>
  <si>
    <t>BENEFITS</t>
  </si>
  <si>
    <t>i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</si>
  <si>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</si>
  <si>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</si>
  <si>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</si>
  <si>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</si>
  <si>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</si>
  <si>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</si>
  <si>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</si>
  <si>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</si>
  <si>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</si>
  <si>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</si>
  <si>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</si>
  <si>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</si>
  <si>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</si>
  <si>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</si>
  <si>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</si>
  <si>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</si>
  <si>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</si>
  <si>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</si>
  <si>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</si>
  <si>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</si>
  <si>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</si>
  <si>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</si>
  <si>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</si>
  <si>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</si>
  <si>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FF 2018</t>
  </si>
  <si>
    <t>DO 2018</t>
  </si>
  <si>
    <t>LT 2018</t>
  </si>
  <si>
    <t>CAP 2018</t>
  </si>
  <si>
    <t>EMS Field Training Officer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</si>
  <si>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</si>
  <si>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</si>
  <si>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</si>
  <si>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</si>
  <si>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</si>
  <si>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</si>
  <si>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Email Spam Filter (Barracuda Essentials)</t>
  </si>
  <si>
    <t>Mobile Radios (Remaining Truck Replacements)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</si>
  <si>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</si>
  <si>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</si>
  <si>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</si>
  <si>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</si>
  <si>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</si>
  <si>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</si>
  <si>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</si>
  <si>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</si>
  <si>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</si>
  <si>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</si>
  <si>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50th Anniversary Items</t>
  </si>
  <si>
    <t>Automated External Defibrillators</t>
  </si>
  <si>
    <t>Outdoor Dual-Sided Electronic Sign for Station 301</t>
  </si>
  <si>
    <t>Bat Chief</t>
  </si>
  <si>
    <t>BC 2018</t>
  </si>
  <si>
    <t>Revenue to Expense Difference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</si>
  <si>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</si>
  <si>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</si>
  <si>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</si>
  <si>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</si>
  <si>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</si>
  <si>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</si>
  <si>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</si>
  <si>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</si>
  <si>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</si>
  <si>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</si>
  <si>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</si>
  <si>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</si>
  <si>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</si>
  <si>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</si>
  <si>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</si>
  <si>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</si>
  <si>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Rescue Tech V</t>
  </si>
  <si>
    <t>National Registry Recertifications</t>
  </si>
  <si>
    <t>Rehab</t>
  </si>
  <si>
    <t>Exterior Station and Building Painting</t>
  </si>
  <si>
    <t>Quickbooks Checks  (1000)</t>
  </si>
  <si>
    <t>Patient Care Records Management System</t>
  </si>
  <si>
    <t>Fire Incident Records Management System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</si>
  <si>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</si>
  <si>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</si>
  <si>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</si>
  <si>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</si>
  <si>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</si>
  <si>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</si>
  <si>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</si>
  <si>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</si>
  <si>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</si>
  <si>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</si>
  <si>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</si>
  <si>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</si>
  <si>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NFPA Online (subscription)</t>
  </si>
  <si>
    <t>COA Barton Springs Zone Permit (Station 301)</t>
  </si>
  <si>
    <t>Rescue Tech IV</t>
  </si>
  <si>
    <t>Quarterly Air Tests (4 @ $300)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</si>
  <si>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</si>
  <si>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</si>
  <si>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</si>
  <si>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</si>
  <si>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</si>
  <si>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</si>
  <si>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</si>
  <si>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Community Event Mailer, twice per year</t>
  </si>
  <si>
    <t>Heat &amp; Drill Field - Circle Drive - Propane</t>
  </si>
  <si>
    <t>Wireless Access for MDC's @ $40 per truck per month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</si>
  <si>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</si>
  <si>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</si>
  <si>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</si>
  <si>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</si>
  <si>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</si>
  <si>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</si>
  <si>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</si>
  <si>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</si>
  <si>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</si>
  <si>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</si>
  <si>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</si>
  <si>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</si>
  <si>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</si>
  <si>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</si>
  <si>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</si>
  <si>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</si>
  <si>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</si>
  <si>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</si>
  <si>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</si>
  <si>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</si>
  <si>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</si>
  <si>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</si>
  <si>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</si>
  <si>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Officer/Commissioner Meetings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</si>
  <si>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</si>
  <si>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</si>
  <si>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</si>
  <si>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</si>
  <si>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New Apparatus Equipment (Misc Tools &amp; Equipment)</t>
  </si>
  <si>
    <t>Air Filters at both stations</t>
  </si>
  <si>
    <t>Semi-Annual Newsletter</t>
  </si>
  <si>
    <t>Radio/MDC Repairs ($78.92/hr)</t>
  </si>
  <si>
    <t>Replace Knox Key Retention Devices</t>
  </si>
  <si>
    <t>Deployment cots/hammocks</t>
  </si>
  <si>
    <t>Deployment sleeping pads</t>
  </si>
  <si>
    <t>ESD3 Hosted Training Classes (Nozzle Forward, etc.)</t>
  </si>
  <si>
    <t>Wildland Gear Packs</t>
  </si>
  <si>
    <t>Accident &amp; Sickness, STD, LTD, CI Insurance (Hartford)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</si>
  <si>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</si>
  <si>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</si>
  <si>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</si>
  <si>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</si>
  <si>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</si>
  <si>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Fire &amp; EMS Academy Recruiting</t>
  </si>
  <si>
    <t>Forcible Entry Prop for Hiring</t>
  </si>
  <si>
    <t>AT&amp;T Landline (non-emergency line)</t>
  </si>
  <si>
    <t>*Debt Service Interest</t>
  </si>
  <si>
    <t>*Debt Service 2013 bonds</t>
  </si>
  <si>
    <t>Capital apparatus/equipment purchases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</si>
  <si>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</si>
  <si>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</si>
  <si>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</si>
  <si>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</si>
  <si>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ST301 Expansion (Arch, Eng, &amp; Permits)</t>
  </si>
  <si>
    <t>FF 2021</t>
  </si>
  <si>
    <t>DO 2021</t>
  </si>
  <si>
    <t>LT 2021</t>
  </si>
  <si>
    <t>CAP 2021</t>
  </si>
  <si>
    <t>BC 2021</t>
  </si>
  <si>
    <t>ST301 Expansion (Construction)</t>
  </si>
  <si>
    <t>Property Tax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</si>
  <si>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</si>
  <si>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</si>
  <si>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</si>
  <si>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</si>
  <si>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</si>
  <si>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Tender 301 Dump Valve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</si>
  <si>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</si>
  <si>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</si>
  <si>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</si>
  <si>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</si>
  <si>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</si>
  <si>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Staff Parking Covers (Both Stations)</t>
  </si>
  <si>
    <t>Newspaper Public Notices re Tax Rate</t>
  </si>
  <si>
    <t>Fire Extinguisher replacements at both stations</t>
  </si>
  <si>
    <t>EXPENSE CATEGORY</t>
  </si>
  <si>
    <t>CHIEF</t>
  </si>
  <si>
    <t>Replace Station Projection Systems</t>
  </si>
  <si>
    <t>Employee Assistance Program (EAP)</t>
  </si>
  <si>
    <t>KnoxConnect Secure Key Subscription</t>
  </si>
  <si>
    <t>Wireless Headsets (Battalions)</t>
  </si>
  <si>
    <t>Convert Large Burn Room to Burn Garage</t>
  </si>
  <si>
    <t>Add mezzanine for Training Truck Bay</t>
  </si>
  <si>
    <t>Add Drill Field Lighting</t>
  </si>
  <si>
    <t>Replace Station Internet Connectivity Hardware</t>
  </si>
  <si>
    <t>Server Back-up (Cloud)</t>
  </si>
  <si>
    <t>Replace Thermal Imaging Cameras (2 front line trucks)</t>
  </si>
  <si>
    <t>Replace tool boxes &amp; replenish station tools</t>
  </si>
  <si>
    <t>Add tables and chairs to training expansion area</t>
  </si>
  <si>
    <t>Forcible Entry Simulator Trailer (shared with neighboring ESDs)</t>
  </si>
  <si>
    <t>Replace High Pressure Air Bags (Quint 302)</t>
  </si>
  <si>
    <t>Upgrade TIC on QNT302 and ENG303</t>
  </si>
  <si>
    <t>TIFMAS FFT1</t>
  </si>
  <si>
    <t>TIFMAS ENGB</t>
  </si>
  <si>
    <t>TIFMAS STL</t>
  </si>
  <si>
    <t>TIFMAS DIVS</t>
  </si>
  <si>
    <t>Advanced EMT</t>
  </si>
  <si>
    <t>TCFP Intermediate FF</t>
  </si>
  <si>
    <t>TCFP Advanced FF</t>
  </si>
  <si>
    <t>TCFP Master FF</t>
  </si>
  <si>
    <t>Lift Frame and Replace Tires on Brush Trucks</t>
  </si>
  <si>
    <t>Add covered meeting area on drill field expansion</t>
  </si>
  <si>
    <t>Travis County ESD #3 / Oak Hill Fire Department</t>
  </si>
  <si>
    <t>2% per year of service (All existing employees begin at Year 1 in 2022 plus existing Longevity amounts from previous program)</t>
  </si>
  <si>
    <t>Start</t>
  </si>
  <si>
    <t>Est. Annual</t>
  </si>
  <si>
    <t>Increase</t>
  </si>
  <si>
    <t>Driver</t>
  </si>
  <si>
    <t>Batt Chief</t>
  </si>
  <si>
    <t>Trng Officer</t>
  </si>
  <si>
    <t>Fire Chief</t>
  </si>
  <si>
    <t>2023 Longevity Pay Rates</t>
  </si>
  <si>
    <t>LONGEVITY INCENTIVE - Frozen as of 10/01/2021</t>
  </si>
  <si>
    <t>General Drill Field Maintenance</t>
  </si>
  <si>
    <t>Structural and Wildland PPE Repair and Cleaning</t>
  </si>
  <si>
    <t>Replacement Ground Ladders</t>
  </si>
  <si>
    <t>Replace Stretcher</t>
  </si>
  <si>
    <t>Fire Hydrant Inspections (4)</t>
  </si>
  <si>
    <t>Driver License Renewals</t>
  </si>
  <si>
    <t>Station Lighting Systems Replacement (LEDs @ 301)</t>
  </si>
  <si>
    <t>AC filter grates for 301</t>
  </si>
  <si>
    <t>Replacement Computer Monitors</t>
  </si>
  <si>
    <t>Hosted Email and Cloud Office Programs</t>
  </si>
  <si>
    <t>Package Shipment</t>
  </si>
  <si>
    <t>Legal consultants - KC, KM</t>
  </si>
  <si>
    <t>*Bonds mature end of FY2025</t>
  </si>
  <si>
    <t>Replacement Quint 302</t>
  </si>
  <si>
    <t>UTV Response Unit (EMS/Wildland/Search)</t>
  </si>
  <si>
    <t>Replacement Ice Machine at ST301 (move old to Trng)</t>
  </si>
  <si>
    <t>Utility Vehicle (Golf Cart) for Training Field</t>
  </si>
  <si>
    <t>Replace Extrication Tools with Electric Model</t>
  </si>
  <si>
    <t>Trunked Radio User Fee @ $31.87 per radio per month</t>
  </si>
  <si>
    <t>12-Lead Monitors</t>
  </si>
  <si>
    <t>Additional Staffing PPE (3 personnel)</t>
  </si>
  <si>
    <t>Paramedic</t>
  </si>
  <si>
    <t>Truck Bay Ventilation Fans (301)</t>
  </si>
  <si>
    <t>Annual SCBA Flow Test (38 @ $48)</t>
  </si>
  <si>
    <t>SCBA Mask Fit Test (38 @ $35)</t>
  </si>
  <si>
    <t>Scott SCBA masks (4 @ $350)</t>
  </si>
  <si>
    <t>Cylinder Hydro (25 @ $45)</t>
  </si>
  <si>
    <t>Administrative Training/Seminars (Admin &amp; BCs)</t>
  </si>
  <si>
    <t>Fire Department Instructors' Conference (FDIC) (4 attendees)</t>
  </si>
  <si>
    <t>Highrise Conference (3 attendees)</t>
  </si>
  <si>
    <t>Wildland Urban Interface Conference (Reno, NV) (3 attendees)</t>
  </si>
  <si>
    <t>TFCA Fire Chiefs Workshop (JW)</t>
  </si>
  <si>
    <t>EMS Conference (3 attendees)</t>
  </si>
  <si>
    <t>Increase Estimate (for bugeting only)</t>
  </si>
  <si>
    <t>Capital Area Fire Chiefs Association  (JW &amp; BCs)</t>
  </si>
  <si>
    <t>International Association Fire Chiefs (JW)</t>
  </si>
  <si>
    <t>National Assoc. of EMS Educators (NAEMSE) (RH)</t>
  </si>
  <si>
    <t>Professional Association memberships (JW, SB, JP, JT)</t>
  </si>
  <si>
    <t>Warehouse Club memberships (Chiefs, Capts, Admin)</t>
  </si>
  <si>
    <t>TCFP Initial Certifications (10 @ $55)</t>
  </si>
  <si>
    <t>Copy Machine Maintenance - 1 per station</t>
  </si>
  <si>
    <t>Texas SUI  @ $86.7 x 36 + allowance $2,500 for PT</t>
  </si>
  <si>
    <t>Wildland tools &amp; accessories (incl aux pumps)</t>
  </si>
  <si>
    <t>Stair Chair</t>
  </si>
  <si>
    <t>Equipment - SCBA flow testing</t>
  </si>
  <si>
    <t>Replace SCBA air bottles @ $1100 each</t>
  </si>
  <si>
    <t>Refurbish two burn rooms (using some existing materials)</t>
  </si>
  <si>
    <t>SCBA replacement bottles @ $1200 each</t>
  </si>
  <si>
    <t>Growth &amp; Development Projects</t>
  </si>
  <si>
    <t>Landscaping and lot line clearing ('22 Barton Creek, '24 Circle Dr)</t>
  </si>
  <si>
    <t>Firefighter 2022</t>
  </si>
  <si>
    <t>Driver/Operator 2022</t>
  </si>
  <si>
    <t>Lieutenant 2022</t>
  </si>
  <si>
    <t>Captain 2022</t>
  </si>
  <si>
    <t>Battalion Chief 2022</t>
  </si>
  <si>
    <t>Battalion Chief 2023</t>
  </si>
  <si>
    <t>Battalion Chief 2024</t>
  </si>
  <si>
    <t>Captain 2023</t>
  </si>
  <si>
    <t>Captain 2024</t>
  </si>
  <si>
    <t>Lieutenant 2023</t>
  </si>
  <si>
    <t>Lieutenant 2024</t>
  </si>
  <si>
    <t>Driver/Operator 2023</t>
  </si>
  <si>
    <t>Driver/Operator 2024</t>
  </si>
  <si>
    <t>Firefighter 2023</t>
  </si>
  <si>
    <t>Firefighter 2024</t>
  </si>
  <si>
    <t>Firefighter 2025</t>
  </si>
  <si>
    <t>Driver/Operator 2025</t>
  </si>
  <si>
    <t>Lieutenant 2025</t>
  </si>
  <si>
    <t>Captain 2025</t>
  </si>
  <si>
    <t>Battalion Chief 2025</t>
  </si>
  <si>
    <t>5 commissioners, 18 meetings</t>
  </si>
  <si>
    <t>Cell phones, Tablets, Radios, &amp; Boosters</t>
  </si>
  <si>
    <t>Texas Fire Chiefs' Association (JW, BCs, HH)</t>
  </si>
  <si>
    <t>Enclosed UTV Trailer for Station 302</t>
  </si>
  <si>
    <t>Wildland Skid for Station 301 UTV</t>
  </si>
  <si>
    <t>Renew Parking Lot Striping at ST301</t>
  </si>
  <si>
    <t>Renew Parking Lot Striping at ST302</t>
  </si>
  <si>
    <t>Clean Cab Filtration (5 @ $2,500; 3 @ $2,100)</t>
  </si>
  <si>
    <t>PPE and SCBA Decon Kits (for on scene use)</t>
  </si>
  <si>
    <t>CrewSense Scheduling &amp; Learning Management</t>
  </si>
  <si>
    <t>EMS Certification School fees</t>
  </si>
  <si>
    <t>Ballistic PPE (vests &amp; plates)</t>
  </si>
  <si>
    <t>IAFC Fire Rescue International (Orlando 2025) (3 attendees)</t>
  </si>
  <si>
    <t>SAFE-D Conference (Round Rock 2025) (Commissioners + JW &amp; HH)</t>
  </si>
  <si>
    <t>TIFMAS Symposium (Waco 20254) (JW + 4 attendees)</t>
  </si>
  <si>
    <t>TFCA Executive Conference (Waco 2025) (JW)</t>
  </si>
  <si>
    <t>TCFP Annual Certifications  (45 @ $65)</t>
  </si>
  <si>
    <t>Fraud Management - Wells Fargo</t>
  </si>
  <si>
    <t>Air Filtration Devices for both stations (10 @ $1,500)</t>
  </si>
  <si>
    <t>Engine 303 Compartment Reconfiguration</t>
  </si>
  <si>
    <t>Battalion Trucks Command Center Reconfiguration</t>
  </si>
  <si>
    <t>French drain for right side of drill field</t>
  </si>
  <si>
    <t>Lightweight Replacement Grating for Trench Rescue Prop</t>
  </si>
  <si>
    <t>Replacement Recliners for Station 301</t>
  </si>
  <si>
    <t>Code Reader Software Updates (2 units)</t>
  </si>
  <si>
    <t>Replace Day Room Equipment (recliners @ 301)</t>
  </si>
  <si>
    <t>Adopted FY2025 Budget</t>
  </si>
  <si>
    <t>Adopted FY2024 Budget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</si>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</sst>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8" formatCode="0.0%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1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736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Border="1"/>
    <xf numFmtId="0" fontId="10" fillId="0" borderId="0" xfId="0" applyFont="1"/>
    <xf numFmtId="4" fontId="7" fillId="0" borderId="0" xfId="0" applyNumberFormat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14" fillId="0" borderId="0" xfId="0" applyFont="1" applyAlignment="1">
      <alignment horizontal="left"/>
    </xf>
    <xf numFmtId="0" fontId="11" fillId="0" borderId="12" xfId="0" applyFont="1" applyBorder="1" applyAlignment="1">
      <alignment horizontal="left"/>
    </xf>
    <xf numFmtId="0" fontId="23" fillId="0" borderId="0" xfId="0" applyFont="1"/>
    <xf numFmtId="44" fontId="7" fillId="0" borderId="14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14" fillId="0" borderId="0" xfId="0" applyFont="1"/>
    <xf numFmtId="44" fontId="14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44" fontId="17" fillId="0" borderId="14" xfId="1" applyFont="1" applyBorder="1"/>
    <xf numFmtId="0" fontId="14" fillId="0" borderId="1" xfId="0" applyFont="1" applyBorder="1" applyAlignment="1">
      <alignment horizontal="left"/>
    </xf>
    <xf numFmtId="44" fontId="14" fillId="0" borderId="14" xfId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4" fillId="0" borderId="18" xfId="0" applyFont="1" applyBorder="1"/>
    <xf numFmtId="0" fontId="14" fillId="0" borderId="18" xfId="0" applyFont="1" applyBorder="1" applyAlignment="1">
      <alignment horizontal="left"/>
    </xf>
    <xf numFmtId="4" fontId="14" fillId="0" borderId="0" xfId="0" applyNumberFormat="1" applyFont="1"/>
    <xf numFmtId="0" fontId="19" fillId="0" borderId="14" xfId="0" applyFont="1" applyBorder="1" applyAlignment="1">
      <alignment horizontal="center"/>
    </xf>
    <xf numFmtId="44" fontId="14" fillId="0" borderId="14" xfId="0" applyNumberFormat="1" applyFont="1" applyBorder="1" applyAlignment="1">
      <alignment horizontal="center"/>
    </xf>
    <xf numFmtId="44" fontId="14" fillId="0" borderId="17" xfId="0" applyNumberFormat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4" fontId="14" fillId="0" borderId="0" xfId="1" applyFont="1" applyBorder="1"/>
    <xf numFmtId="0" fontId="19" fillId="0" borderId="0" xfId="0" applyFont="1"/>
    <xf numFmtId="0" fontId="14" fillId="0" borderId="20" xfId="0" applyFont="1" applyBorder="1" applyAlignment="1">
      <alignment horizontal="left"/>
    </xf>
    <xf numFmtId="44" fontId="14" fillId="0" borderId="14" xfId="1" applyFont="1" applyBorder="1" applyAlignment="1">
      <alignment horizontal="center"/>
    </xf>
    <xf numFmtId="44" fontId="14" fillId="0" borderId="14" xfId="1" applyFont="1" applyBorder="1"/>
    <xf numFmtId="44" fontId="14" fillId="0" borderId="17" xfId="1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4" fillId="0" borderId="14" xfId="0" applyFont="1" applyBorder="1"/>
    <xf numFmtId="0" fontId="24" fillId="0" borderId="14" xfId="0" applyFont="1" applyBorder="1" applyAlignment="1">
      <alignment horizontal="left"/>
    </xf>
    <xf numFmtId="44" fontId="12" fillId="0" borderId="14" xfId="0" applyNumberFormat="1" applyFont="1" applyBorder="1"/>
    <xf numFmtId="0" fontId="17" fillId="0" borderId="0" xfId="0" applyFont="1" applyAlignment="1">
      <alignment horizontal="center"/>
    </xf>
    <xf numFmtId="44" fontId="14" fillId="0" borderId="14" xfId="0" applyNumberFormat="1" applyFont="1" applyBorder="1"/>
    <xf numFmtId="0" fontId="14" fillId="0" borderId="14" xfId="0" applyFont="1" applyBorder="1" applyAlignment="1">
      <alignment horizontal="left"/>
    </xf>
    <xf numFmtId="44" fontId="14" fillId="0" borderId="14" xfId="1" applyFont="1" applyFill="1" applyBorder="1" applyAlignment="1"/>
    <xf numFmtId="0" fontId="14" fillId="0" borderId="14" xfId="0" applyFont="1" applyBorder="1" applyAlignment="1">
      <alignment vertical="top"/>
    </xf>
    <xf numFmtId="0" fontId="14" fillId="0" borderId="17" xfId="0" applyFont="1" applyBorder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8" fillId="3" borderId="23" xfId="1" applyFont="1" applyFill="1" applyBorder="1"/>
    <xf numFmtId="0" fontId="14" fillId="0" borderId="21" xfId="0" applyFont="1" applyBorder="1" applyAlignment="1">
      <alignment horizontal="center"/>
    </xf>
    <xf numFmtId="44" fontId="14" fillId="0" borderId="19" xfId="1" applyFont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20" fillId="0" borderId="0" xfId="0" applyFont="1"/>
    <xf numFmtId="44" fontId="20" fillId="3" borderId="23" xfId="1" applyFont="1" applyFill="1" applyBorder="1"/>
    <xf numFmtId="0" fontId="17" fillId="0" borderId="0" xfId="0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19" fillId="0" borderId="14" xfId="1" applyNumberFormat="1" applyFont="1" applyBorder="1" applyAlignment="1">
      <alignment horizontal="center"/>
    </xf>
    <xf numFmtId="0" fontId="14" fillId="0" borderId="14" xfId="1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4" fontId="14" fillId="0" borderId="17" xfId="1" applyFont="1" applyBorder="1"/>
    <xf numFmtId="0" fontId="14" fillId="0" borderId="40" xfId="0" applyFont="1" applyBorder="1" applyAlignment="1">
      <alignment horizontal="center"/>
    </xf>
    <xf numFmtId="0" fontId="19" fillId="0" borderId="14" xfId="0" applyFont="1" applyBorder="1"/>
    <xf numFmtId="44" fontId="14" fillId="0" borderId="14" xfId="1" applyFont="1" applyFill="1" applyBorder="1"/>
    <xf numFmtId="44" fontId="14" fillId="0" borderId="17" xfId="1" applyFont="1" applyBorder="1" applyAlignment="1">
      <alignment horizontal="center"/>
    </xf>
    <xf numFmtId="44" fontId="14" fillId="0" borderId="17" xfId="0" applyNumberFormat="1" applyFont="1" applyBorder="1"/>
    <xf numFmtId="44" fontId="14" fillId="0" borderId="14" xfId="0" applyNumberFormat="1" applyFont="1" applyBorder="1" applyAlignment="1">
      <alignment horizontal="center" vertical="center"/>
    </xf>
    <xf numFmtId="44" fontId="14" fillId="0" borderId="19" xfId="0" applyNumberFormat="1" applyFont="1" applyBorder="1"/>
    <xf numFmtId="0" fontId="14" fillId="0" borderId="40" xfId="0" applyFont="1" applyBorder="1"/>
    <xf numFmtId="0" fontId="28" fillId="0" borderId="14" xfId="1" applyNumberFormat="1" applyFont="1" applyBorder="1" applyAlignment="1">
      <alignment horizontal="center"/>
    </xf>
    <xf numFmtId="0" fontId="27" fillId="0" borderId="14" xfId="0" applyFont="1" applyBorder="1"/>
    <xf numFmtId="0" fontId="27" fillId="0" borderId="14" xfId="0" applyFont="1" applyBorder="1" applyAlignment="1">
      <alignment horizontal="left"/>
    </xf>
    <xf numFmtId="0" fontId="29" fillId="0" borderId="14" xfId="0" applyFont="1" applyBorder="1" applyAlignment="1">
      <alignment horizontal="center"/>
    </xf>
    <xf numFmtId="44" fontId="29" fillId="0" borderId="14" xfId="1" applyFont="1" applyBorder="1" applyAlignment="1">
      <alignment horizontal="center"/>
    </xf>
    <xf numFmtId="44" fontId="29" fillId="0" borderId="14" xfId="1" applyFont="1" applyBorder="1"/>
    <xf numFmtId="49" fontId="14" fillId="0" borderId="14" xfId="0" applyNumberFormat="1" applyFont="1" applyBorder="1" applyAlignment="1">
      <alignment horizontal="left"/>
    </xf>
    <xf numFmtId="44" fontId="14" fillId="0" borderId="40" xfId="0" applyNumberFormat="1" applyFont="1" applyBorder="1" applyAlignment="1">
      <alignment horizontal="center"/>
    </xf>
    <xf numFmtId="0" fontId="28" fillId="0" borderId="0" xfId="0" applyFont="1"/>
    <xf numFmtId="0" fontId="24" fillId="0" borderId="14" xfId="0" applyFont="1" applyBorder="1"/>
    <xf numFmtId="0" fontId="29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0" fillId="0" borderId="0" xfId="0" applyFont="1"/>
    <xf numFmtId="44" fontId="19" fillId="0" borderId="14" xfId="1" applyFont="1" applyBorder="1" applyAlignment="1">
      <alignment horizontal="center"/>
    </xf>
    <xf numFmtId="44" fontId="14" fillId="0" borderId="45" xfId="0" applyNumberFormat="1" applyFont="1" applyBorder="1" applyAlignment="1">
      <alignment horizontal="center"/>
    </xf>
    <xf numFmtId="44" fontId="28" fillId="0" borderId="14" xfId="1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14" fillId="0" borderId="18" xfId="0" applyFont="1" applyBorder="1" applyAlignment="1">
      <alignment wrapText="1"/>
    </xf>
    <xf numFmtId="44" fontId="14" fillId="0" borderId="19" xfId="1" applyFont="1" applyBorder="1"/>
    <xf numFmtId="44" fontId="14" fillId="0" borderId="0" xfId="1" applyFont="1" applyFill="1" applyBorder="1"/>
    <xf numFmtId="0" fontId="23" fillId="0" borderId="0" xfId="0" applyFont="1" applyAlignment="1">
      <alignment horizontal="center" vertical="center"/>
    </xf>
    <xf numFmtId="42" fontId="12" fillId="2" borderId="2" xfId="0" applyNumberFormat="1" applyFont="1" applyFill="1" applyBorder="1"/>
    <xf numFmtId="42" fontId="12" fillId="2" borderId="11" xfId="0" applyNumberFormat="1" applyFont="1" applyFill="1" applyBorder="1"/>
    <xf numFmtId="42" fontId="12" fillId="2" borderId="30" xfId="0" applyNumberFormat="1" applyFont="1" applyFill="1" applyBorder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32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5" fillId="0" borderId="50" xfId="0" applyFont="1" applyBorder="1" applyAlignment="1">
      <alignment horizontal="left" vertical="center"/>
    </xf>
    <xf numFmtId="0" fontId="0" fillId="0" borderId="31" xfId="0" applyBorder="1" applyAlignment="1">
      <alignment horizontal="centerContinuous" vertical="center"/>
    </xf>
    <xf numFmtId="0" fontId="0" fillId="0" borderId="3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38" xfId="0" applyBorder="1" applyAlignment="1">
      <alignment vertical="center"/>
    </xf>
    <xf numFmtId="0" fontId="9" fillId="0" borderId="38" xfId="0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0" fontId="0" fillId="0" borderId="43" xfId="0" applyBorder="1"/>
    <xf numFmtId="0" fontId="15" fillId="4" borderId="24" xfId="0" applyFont="1" applyFill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164" fontId="0" fillId="4" borderId="55" xfId="0" applyNumberFormat="1" applyFill="1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14" fillId="0" borderId="14" xfId="0" applyFont="1" applyBorder="1" applyAlignment="1">
      <alignment vertical="top" wrapText="1"/>
    </xf>
    <xf numFmtId="0" fontId="11" fillId="0" borderId="0" xfId="2"/>
    <xf numFmtId="0" fontId="12" fillId="0" borderId="0" xfId="2" applyFont="1" applyAlignment="1">
      <alignment textRotation="44"/>
    </xf>
    <xf numFmtId="0" fontId="12" fillId="0" borderId="0" xfId="2" applyFont="1"/>
    <xf numFmtId="165" fontId="11" fillId="0" borderId="0" xfId="2" applyNumberForma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165" fontId="11" fillId="0" borderId="0" xfId="2" applyNumberFormat="1"/>
    <xf numFmtId="164" fontId="11" fillId="0" borderId="0" xfId="2" applyNumberFormat="1"/>
    <xf numFmtId="44" fontId="24" fillId="0" borderId="14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/>
    <xf numFmtId="0" fontId="18" fillId="0" borderId="0" xfId="0" applyFont="1"/>
    <xf numFmtId="0" fontId="14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3" borderId="23" xfId="0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44" fontId="12" fillId="0" borderId="14" xfId="0" applyNumberFormat="1" applyFont="1" applyBorder="1" applyAlignment="1">
      <alignment horizontal="center"/>
    </xf>
    <xf numFmtId="44" fontId="12" fillId="0" borderId="17" xfId="0" applyNumberFormat="1" applyFont="1" applyBorder="1" applyAlignment="1">
      <alignment horizontal="center"/>
    </xf>
    <xf numFmtId="0" fontId="19" fillId="0" borderId="18" xfId="0" applyFont="1" applyBorder="1"/>
    <xf numFmtId="44" fontId="19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4" fontId="12" fillId="0" borderId="14" xfId="1" applyFont="1" applyBorder="1"/>
    <xf numFmtId="44" fontId="12" fillId="0" borderId="19" xfId="0" applyNumberFormat="1" applyFont="1" applyBorder="1" applyAlignment="1">
      <alignment horizontal="center"/>
    </xf>
    <xf numFmtId="44" fontId="19" fillId="3" borderId="23" xfId="1" applyFont="1" applyFill="1" applyBorder="1"/>
    <xf numFmtId="0" fontId="14" fillId="0" borderId="63" xfId="0" applyFont="1" applyBorder="1"/>
    <xf numFmtId="44" fontId="35" fillId="0" borderId="14" xfId="0" applyNumberFormat="1" applyFont="1" applyBorder="1" applyAlignment="1">
      <alignment horizontal="center"/>
    </xf>
    <xf numFmtId="0" fontId="19" fillId="3" borderId="23" xfId="1" applyNumberFormat="1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9" fillId="0" borderId="18" xfId="0" applyFont="1" applyBorder="1" applyAlignment="1">
      <alignment horizontal="left"/>
    </xf>
    <xf numFmtId="0" fontId="17" fillId="3" borderId="25" xfId="0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3" borderId="23" xfId="1" applyNumberFormat="1" applyFont="1" applyFill="1" applyBorder="1" applyAlignment="1">
      <alignment horizontal="center"/>
    </xf>
    <xf numFmtId="0" fontId="14" fillId="0" borderId="21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9" fillId="3" borderId="23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44" fontId="28" fillId="0" borderId="14" xfId="1" applyFont="1" applyBorder="1" applyAlignment="1"/>
    <xf numFmtId="0" fontId="14" fillId="0" borderId="61" xfId="0" applyFont="1" applyBorder="1" applyAlignment="1">
      <alignment horizontal="center"/>
    </xf>
    <xf numFmtId="44" fontId="28" fillId="0" borderId="14" xfId="1" applyFont="1" applyBorder="1"/>
    <xf numFmtId="44" fontId="14" fillId="0" borderId="19" xfId="1" applyFont="1" applyFill="1" applyBorder="1" applyAlignment="1">
      <alignment horizontal="left"/>
    </xf>
    <xf numFmtId="0" fontId="19" fillId="3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left"/>
    </xf>
    <xf numFmtId="0" fontId="14" fillId="2" borderId="14" xfId="0" applyFont="1" applyFill="1" applyBorder="1" applyAlignment="1">
      <alignment horizontal="left"/>
    </xf>
    <xf numFmtId="0" fontId="37" fillId="0" borderId="0" xfId="0" applyFont="1"/>
    <xf numFmtId="0" fontId="24" fillId="0" borderId="0" xfId="0" applyFont="1"/>
    <xf numFmtId="44" fontId="19" fillId="0" borderId="14" xfId="1" applyFont="1" applyBorder="1"/>
    <xf numFmtId="0" fontId="38" fillId="0" borderId="0" xfId="0" applyFont="1" applyAlignment="1">
      <alignment horizontal="left"/>
    </xf>
    <xf numFmtId="44" fontId="14" fillId="0" borderId="20" xfId="1" applyFont="1" applyBorder="1"/>
    <xf numFmtId="44" fontId="14" fillId="0" borderId="63" xfId="1" applyFont="1" applyBorder="1"/>
    <xf numFmtId="0" fontId="24" fillId="0" borderId="18" xfId="0" applyFont="1" applyBorder="1" applyAlignment="1">
      <alignment horizontal="left"/>
    </xf>
    <xf numFmtId="44" fontId="24" fillId="0" borderId="14" xfId="0" applyNumberFormat="1" applyFont="1" applyBorder="1"/>
    <xf numFmtId="44" fontId="28" fillId="0" borderId="14" xfId="0" applyNumberFormat="1" applyFont="1" applyBorder="1" applyAlignment="1">
      <alignment horizontal="center"/>
    </xf>
    <xf numFmtId="44" fontId="14" fillId="0" borderId="19" xfId="1" applyFont="1" applyBorder="1" applyAlignment="1">
      <alignment horizontal="left"/>
    </xf>
    <xf numFmtId="0" fontId="4" fillId="0" borderId="0" xfId="0" applyFont="1"/>
    <xf numFmtId="44" fontId="12" fillId="0" borderId="0" xfId="0" applyNumberFormat="1" applyFont="1"/>
    <xf numFmtId="0" fontId="12" fillId="0" borderId="0" xfId="0" applyFont="1" applyAlignment="1">
      <alignment vertical="center"/>
    </xf>
    <xf numFmtId="0" fontId="26" fillId="0" borderId="0" xfId="0" applyFont="1"/>
    <xf numFmtId="42" fontId="0" fillId="0" borderId="0" xfId="0" applyNumberFormat="1"/>
    <xf numFmtId="0" fontId="25" fillId="0" borderId="67" xfId="0" applyFont="1" applyBorder="1" applyAlignment="1">
      <alignment horizontal="left" vertical="center"/>
    </xf>
    <xf numFmtId="44" fontId="14" fillId="0" borderId="63" xfId="1" applyFont="1" applyBorder="1" applyAlignment="1">
      <alignment horizontal="left"/>
    </xf>
    <xf numFmtId="0" fontId="14" fillId="0" borderId="59" xfId="0" applyFont="1" applyBorder="1"/>
    <xf numFmtId="164" fontId="12" fillId="0" borderId="0" xfId="0" applyNumberFormat="1" applyFont="1"/>
    <xf numFmtId="0" fontId="14" fillId="0" borderId="35" xfId="0" applyFont="1" applyBorder="1"/>
    <xf numFmtId="0" fontId="20" fillId="3" borderId="2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7" fillId="0" borderId="3" xfId="0" applyFont="1" applyBorder="1"/>
    <xf numFmtId="44" fontId="17" fillId="0" borderId="3" xfId="0" applyNumberFormat="1" applyFont="1" applyBorder="1"/>
    <xf numFmtId="0" fontId="17" fillId="0" borderId="1" xfId="0" applyFont="1" applyBorder="1"/>
    <xf numFmtId="0" fontId="17" fillId="0" borderId="2" xfId="0" applyFont="1" applyBorder="1"/>
    <xf numFmtId="44" fontId="17" fillId="0" borderId="10" xfId="0" applyNumberFormat="1" applyFont="1" applyBorder="1"/>
    <xf numFmtId="0" fontId="40" fillId="0" borderId="14" xfId="0" applyFont="1" applyBorder="1" applyAlignment="1">
      <alignment horizontal="center"/>
    </xf>
    <xf numFmtId="0" fontId="14" fillId="0" borderId="1" xfId="0" applyFont="1" applyBorder="1"/>
    <xf numFmtId="44" fontId="12" fillId="0" borderId="17" xfId="0" applyNumberFormat="1" applyFont="1" applyBorder="1"/>
    <xf numFmtId="0" fontId="14" fillId="3" borderId="47" xfId="0" applyFont="1" applyFill="1" applyBorder="1"/>
    <xf numFmtId="0" fontId="16" fillId="0" borderId="14" xfId="0" applyFont="1" applyBorder="1" applyAlignment="1">
      <alignment horizontal="center"/>
    </xf>
    <xf numFmtId="44" fontId="14" fillId="0" borderId="63" xfId="0" applyNumberFormat="1" applyFont="1" applyBorder="1"/>
    <xf numFmtId="0" fontId="24" fillId="0" borderId="1" xfId="0" applyFont="1" applyBorder="1"/>
    <xf numFmtId="0" fontId="24" fillId="0" borderId="17" xfId="0" applyFont="1" applyBorder="1"/>
    <xf numFmtId="0" fontId="14" fillId="0" borderId="56" xfId="0" applyFont="1" applyBorder="1"/>
    <xf numFmtId="44" fontId="24" fillId="0" borderId="17" xfId="0" applyNumberFormat="1" applyFont="1" applyBorder="1" applyAlignment="1">
      <alignment horizontal="center"/>
    </xf>
    <xf numFmtId="44" fontId="14" fillId="0" borderId="56" xfId="0" applyNumberFormat="1" applyFont="1" applyBorder="1" applyAlignment="1">
      <alignment horizontal="center"/>
    </xf>
    <xf numFmtId="0" fontId="14" fillId="0" borderId="71" xfId="0" applyFont="1" applyBorder="1"/>
    <xf numFmtId="44" fontId="14" fillId="0" borderId="71" xfId="0" applyNumberFormat="1" applyFont="1" applyBorder="1" applyAlignment="1">
      <alignment horizontal="center"/>
    </xf>
    <xf numFmtId="44" fontId="14" fillId="0" borderId="71" xfId="0" applyNumberFormat="1" applyFont="1" applyBorder="1"/>
    <xf numFmtId="0" fontId="19" fillId="0" borderId="18" xfId="0" applyFont="1" applyBorder="1" applyAlignment="1">
      <alignment horizontal="left"/>
    </xf>
    <xf numFmtId="0" fontId="20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17" fillId="0" borderId="3" xfId="1" applyFont="1" applyBorder="1"/>
    <xf numFmtId="0" fontId="20" fillId="0" borderId="1" xfId="0" applyFont="1" applyBorder="1"/>
    <xf numFmtId="0" fontId="17" fillId="0" borderId="15" xfId="0" applyFont="1" applyBorder="1"/>
    <xf numFmtId="0" fontId="17" fillId="0" borderId="8" xfId="0" applyFont="1" applyBorder="1"/>
    <xf numFmtId="44" fontId="17" fillId="0" borderId="8" xfId="1" applyFont="1" applyBorder="1"/>
    <xf numFmtId="0" fontId="20" fillId="0" borderId="16" xfId="0" applyFont="1" applyBorder="1"/>
    <xf numFmtId="0" fontId="17" fillId="0" borderId="12" xfId="0" applyFont="1" applyBorder="1"/>
    <xf numFmtId="44" fontId="17" fillId="0" borderId="12" xfId="0" applyNumberFormat="1" applyFont="1" applyBorder="1"/>
    <xf numFmtId="0" fontId="20" fillId="0" borderId="9" xfId="0" applyFont="1" applyBorder="1" applyAlignment="1">
      <alignment horizontal="right"/>
    </xf>
    <xf numFmtId="0" fontId="17" fillId="0" borderId="10" xfId="0" applyFont="1" applyBorder="1"/>
    <xf numFmtId="44" fontId="20" fillId="0" borderId="44" xfId="0" applyNumberFormat="1" applyFont="1" applyBorder="1"/>
    <xf numFmtId="44" fontId="17" fillId="0" borderId="2" xfId="1" applyFont="1" applyBorder="1"/>
    <xf numFmtId="44" fontId="20" fillId="0" borderId="2" xfId="0" applyNumberFormat="1" applyFont="1" applyBorder="1"/>
    <xf numFmtId="44" fontId="20" fillId="0" borderId="2" xfId="0" applyNumberFormat="1" applyFont="1" applyBorder="1" applyAlignment="1">
      <alignment horizontal="center"/>
    </xf>
    <xf numFmtId="44" fontId="20" fillId="0" borderId="2" xfId="1" applyFont="1" applyBorder="1"/>
    <xf numFmtId="44" fontId="20" fillId="0" borderId="64" xfId="1" applyFont="1" applyBorder="1"/>
    <xf numFmtId="8" fontId="12" fillId="0" borderId="0" xfId="0" applyNumberFormat="1" applyFont="1"/>
    <xf numFmtId="43" fontId="0" fillId="0" borderId="0" xfId="0" applyNumberFormat="1"/>
    <xf numFmtId="0" fontId="0" fillId="0" borderId="0" xfId="0" applyAlignment="1">
      <alignment vertical="top"/>
    </xf>
    <xf numFmtId="42" fontId="12" fillId="2" borderId="13" xfId="0" applyNumberFormat="1" applyFont="1" applyFill="1" applyBorder="1"/>
    <xf numFmtId="42" fontId="12" fillId="0" borderId="0" xfId="0" applyNumberFormat="1" applyFont="1"/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2" fillId="2" borderId="25" xfId="0" applyFont="1" applyFill="1" applyBorder="1"/>
    <xf numFmtId="42" fontId="42" fillId="0" borderId="26" xfId="0" applyNumberFormat="1" applyFont="1" applyBorder="1"/>
    <xf numFmtId="42" fontId="42" fillId="0" borderId="3" xfId="0" applyNumberFormat="1" applyFont="1" applyBorder="1"/>
    <xf numFmtId="0" fontId="42" fillId="2" borderId="1" xfId="0" applyFont="1" applyFill="1" applyBorder="1"/>
    <xf numFmtId="0" fontId="42" fillId="2" borderId="4" xfId="0" applyFont="1" applyFill="1" applyBorder="1"/>
    <xf numFmtId="42" fontId="42" fillId="0" borderId="22" xfId="0" applyNumberFormat="1" applyFont="1" applyBorder="1"/>
    <xf numFmtId="0" fontId="42" fillId="2" borderId="25" xfId="0" applyFont="1" applyFill="1" applyBorder="1" applyAlignment="1">
      <alignment wrapText="1"/>
    </xf>
    <xf numFmtId="42" fontId="42" fillId="3" borderId="26" xfId="0" applyNumberFormat="1" applyFont="1" applyFill="1" applyBorder="1"/>
    <xf numFmtId="0" fontId="42" fillId="0" borderId="1" xfId="0" applyFont="1" applyBorder="1"/>
    <xf numFmtId="42" fontId="42" fillId="3" borderId="3" xfId="0" applyNumberFormat="1" applyFont="1" applyFill="1" applyBorder="1"/>
    <xf numFmtId="0" fontId="42" fillId="0" borderId="36" xfId="0" applyFont="1" applyBorder="1"/>
    <xf numFmtId="0" fontId="42" fillId="2" borderId="15" xfId="0" applyFont="1" applyFill="1" applyBorder="1"/>
    <xf numFmtId="42" fontId="42" fillId="0" borderId="8" xfId="0" applyNumberFormat="1" applyFont="1" applyBorder="1"/>
    <xf numFmtId="0" fontId="44" fillId="0" borderId="14" xfId="0" applyFont="1" applyBorder="1"/>
    <xf numFmtId="0" fontId="14" fillId="0" borderId="14" xfId="0" applyFont="1" applyBorder="1" applyAlignment="1">
      <alignment horizontal="left" vertical="top"/>
    </xf>
    <xf numFmtId="44" fontId="14" fillId="0" borderId="14" xfId="1" applyFont="1" applyBorder="1" applyAlignment="1"/>
    <xf numFmtId="0" fontId="42" fillId="0" borderId="25" xfId="0" applyFont="1" applyBorder="1"/>
    <xf numFmtId="0" fontId="42" fillId="0" borderId="4" xfId="0" applyFont="1" applyBorder="1"/>
    <xf numFmtId="0" fontId="42" fillId="0" borderId="5" xfId="0" applyFont="1" applyBorder="1"/>
    <xf numFmtId="42" fontId="42" fillId="0" borderId="6" xfId="0" applyNumberFormat="1" applyFont="1" applyBorder="1"/>
    <xf numFmtId="42" fontId="42" fillId="3" borderId="6" xfId="0" applyNumberFormat="1" applyFont="1" applyFill="1" applyBorder="1"/>
    <xf numFmtId="42" fontId="42" fillId="2" borderId="26" xfId="0" applyNumberFormat="1" applyFont="1" applyFill="1" applyBorder="1"/>
    <xf numFmtId="42" fontId="42" fillId="0" borderId="58" xfId="0" applyNumberFormat="1" applyFont="1" applyBorder="1"/>
    <xf numFmtId="42" fontId="42" fillId="2" borderId="58" xfId="0" applyNumberFormat="1" applyFont="1" applyFill="1" applyBorder="1"/>
    <xf numFmtId="42" fontId="42" fillId="0" borderId="12" xfId="0" applyNumberFormat="1" applyFont="1" applyBorder="1"/>
    <xf numFmtId="0" fontId="42" fillId="0" borderId="57" xfId="0" applyFont="1" applyBorder="1"/>
    <xf numFmtId="42" fontId="42" fillId="3" borderId="22" xfId="0" applyNumberFormat="1" applyFont="1" applyFill="1" applyBorder="1"/>
    <xf numFmtId="42" fontId="12" fillId="0" borderId="11" xfId="0" applyNumberFormat="1" applyFont="1" applyBorder="1"/>
    <xf numFmtId="42" fontId="12" fillId="0" borderId="65" xfId="0" applyNumberFormat="1" applyFont="1" applyBorder="1"/>
    <xf numFmtId="42" fontId="12" fillId="0" borderId="30" xfId="0" applyNumberFormat="1" applyFont="1" applyBorder="1"/>
    <xf numFmtId="42" fontId="12" fillId="0" borderId="2" xfId="0" applyNumberFormat="1" applyFont="1" applyBorder="1"/>
    <xf numFmtId="41" fontId="12" fillId="0" borderId="53" xfId="0" applyNumberFormat="1" applyFont="1" applyBorder="1"/>
    <xf numFmtId="43" fontId="12" fillId="0" borderId="53" xfId="0" applyNumberFormat="1" applyFont="1" applyBorder="1"/>
    <xf numFmtId="0" fontId="42" fillId="2" borderId="58" xfId="0" applyFont="1" applyFill="1" applyBorder="1"/>
    <xf numFmtId="0" fontId="22" fillId="2" borderId="26" xfId="0" applyFont="1" applyFill="1" applyBorder="1"/>
    <xf numFmtId="44" fontId="14" fillId="0" borderId="24" xfId="0" applyNumberFormat="1" applyFont="1" applyBorder="1"/>
    <xf numFmtId="44" fontId="14" fillId="0" borderId="66" xfId="1" applyFont="1" applyBorder="1" applyAlignment="1">
      <alignment horizontal="center"/>
    </xf>
    <xf numFmtId="0" fontId="12" fillId="0" borderId="6" xfId="0" applyFont="1" applyBorder="1"/>
    <xf numFmtId="0" fontId="12" fillId="0" borderId="8" xfId="0" applyFont="1" applyBorder="1"/>
    <xf numFmtId="44" fontId="14" fillId="0" borderId="34" xfId="0" applyNumberFormat="1" applyFont="1" applyBorder="1" applyAlignment="1">
      <alignment horizontal="center"/>
    </xf>
    <xf numFmtId="0" fontId="19" fillId="0" borderId="14" xfId="1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2" fontId="12" fillId="0" borderId="24" xfId="0" applyNumberFormat="1" applyFont="1" applyBorder="1"/>
    <xf numFmtId="0" fontId="24" fillId="0" borderId="18" xfId="0" applyFont="1" applyBorder="1"/>
    <xf numFmtId="0" fontId="14" fillId="0" borderId="57" xfId="0" applyFont="1" applyBorder="1" applyAlignment="1">
      <alignment horizontal="center"/>
    </xf>
    <xf numFmtId="44" fontId="14" fillId="0" borderId="61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14" fillId="0" borderId="37" xfId="0" applyFont="1" applyBorder="1" applyAlignment="1">
      <alignment horizontal="right"/>
    </xf>
    <xf numFmtId="0" fontId="24" fillId="0" borderId="21" xfId="0" applyFont="1" applyBorder="1"/>
    <xf numFmtId="0" fontId="24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44" fontId="14" fillId="0" borderId="27" xfId="1" applyFont="1" applyBorder="1" applyAlignment="1">
      <alignment horizontal="left"/>
    </xf>
    <xf numFmtId="44" fontId="14" fillId="0" borderId="27" xfId="0" applyNumberFormat="1" applyFont="1" applyBorder="1"/>
    <xf numFmtId="44" fontId="14" fillId="0" borderId="28" xfId="0" applyNumberFormat="1" applyFont="1" applyBorder="1"/>
    <xf numFmtId="0" fontId="14" fillId="0" borderId="41" xfId="0" applyFont="1" applyBorder="1"/>
    <xf numFmtId="44" fontId="14" fillId="0" borderId="40" xfId="0" applyNumberFormat="1" applyFont="1" applyBorder="1"/>
    <xf numFmtId="0" fontId="14" fillId="0" borderId="46" xfId="0" applyFont="1" applyBorder="1"/>
    <xf numFmtId="0" fontId="14" fillId="0" borderId="18" xfId="0" applyFont="1" applyBorder="1" applyAlignment="1">
      <alignment vertical="top"/>
    </xf>
    <xf numFmtId="0" fontId="14" fillId="0" borderId="18" xfId="0" applyFont="1" applyBorder="1" applyAlignment="1">
      <alignment vertical="top" wrapText="1"/>
    </xf>
    <xf numFmtId="44" fontId="14" fillId="0" borderId="70" xfId="1" applyFont="1" applyBorder="1" applyAlignment="1"/>
    <xf numFmtId="0" fontId="24" fillId="0" borderId="14" xfId="0" applyFont="1" applyBorder="1" applyAlignment="1">
      <alignment horizontal="left" vertical="top"/>
    </xf>
    <xf numFmtId="0" fontId="24" fillId="0" borderId="17" xfId="0" applyFont="1" applyBorder="1" applyAlignment="1">
      <alignment horizontal="left"/>
    </xf>
    <xf numFmtId="44" fontId="24" fillId="0" borderId="17" xfId="0" applyNumberFormat="1" applyFont="1" applyBorder="1"/>
    <xf numFmtId="44" fontId="35" fillId="0" borderId="14" xfId="0" applyNumberFormat="1" applyFont="1" applyBorder="1"/>
    <xf numFmtId="44" fontId="35" fillId="0" borderId="17" xfId="0" applyNumberFormat="1" applyFont="1" applyBorder="1"/>
    <xf numFmtId="0" fontId="14" fillId="0" borderId="17" xfId="0" applyFont="1" applyBorder="1" applyAlignment="1">
      <alignment horizontal="left"/>
    </xf>
    <xf numFmtId="44" fontId="14" fillId="0" borderId="63" xfId="0" applyNumberFormat="1" applyFont="1" applyBorder="1" applyAlignment="1">
      <alignment horizontal="center"/>
    </xf>
    <xf numFmtId="44" fontId="12" fillId="0" borderId="24" xfId="0" applyNumberFormat="1" applyFont="1" applyBorder="1" applyAlignment="1">
      <alignment horizontal="center"/>
    </xf>
    <xf numFmtId="0" fontId="23" fillId="0" borderId="14" xfId="0" applyFont="1" applyBorder="1"/>
    <xf numFmtId="0" fontId="28" fillId="0" borderId="46" xfId="0" applyFont="1" applyBorder="1"/>
    <xf numFmtId="44" fontId="14" fillId="0" borderId="24" xfId="1" applyFont="1" applyBorder="1" applyAlignment="1">
      <alignment horizontal="center"/>
    </xf>
    <xf numFmtId="44" fontId="14" fillId="0" borderId="24" xfId="0" applyNumberFormat="1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4" fontId="14" fillId="0" borderId="3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44" fontId="14" fillId="0" borderId="27" xfId="1" applyFont="1" applyFill="1" applyBorder="1"/>
    <xf numFmtId="44" fontId="12" fillId="0" borderId="24" xfId="0" applyNumberFormat="1" applyFont="1" applyBorder="1"/>
    <xf numFmtId="44" fontId="14" fillId="0" borderId="14" xfId="0" applyNumberFormat="1" applyFont="1" applyBorder="1" applyAlignment="1">
      <alignment vertical="center"/>
    </xf>
    <xf numFmtId="0" fontId="14" fillId="3" borderId="24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14" fillId="0" borderId="56" xfId="0" applyFont="1" applyBorder="1" applyAlignment="1">
      <alignment horizontal="left"/>
    </xf>
    <xf numFmtId="44" fontId="14" fillId="0" borderId="56" xfId="1" applyFont="1" applyBorder="1"/>
    <xf numFmtId="0" fontId="19" fillId="0" borderId="17" xfId="0" applyFont="1" applyBorder="1" applyAlignment="1">
      <alignment horizontal="center"/>
    </xf>
    <xf numFmtId="0" fontId="19" fillId="0" borderId="17" xfId="1" applyNumberFormat="1" applyFont="1" applyBorder="1" applyAlignment="1">
      <alignment horizontal="center"/>
    </xf>
    <xf numFmtId="44" fontId="17" fillId="0" borderId="2" xfId="1" applyFont="1" applyFill="1" applyBorder="1"/>
    <xf numFmtId="0" fontId="24" fillId="0" borderId="18" xfId="0" applyFont="1" applyBorder="1" applyAlignment="1">
      <alignment wrapText="1"/>
    </xf>
    <xf numFmtId="0" fontId="24" fillId="0" borderId="18" xfId="0" applyFont="1" applyBorder="1" applyAlignment="1">
      <alignment horizontal="center"/>
    </xf>
    <xf numFmtId="0" fontId="24" fillId="0" borderId="40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 vertical="center"/>
    </xf>
    <xf numFmtId="0" fontId="17" fillId="3" borderId="29" xfId="0" applyFont="1" applyFill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42" fontId="0" fillId="0" borderId="12" xfId="0" applyNumberFormat="1" applyBorder="1"/>
    <xf numFmtId="44" fontId="14" fillId="0" borderId="20" xfId="1" applyFont="1" applyBorder="1" applyAlignment="1">
      <alignment horizontal="left"/>
    </xf>
    <xf numFmtId="44" fontId="14" fillId="0" borderId="27" xfId="1" applyFont="1" applyBorder="1"/>
    <xf numFmtId="0" fontId="14" fillId="0" borderId="28" xfId="0" applyFont="1" applyBorder="1"/>
    <xf numFmtId="0" fontId="19" fillId="3" borderId="29" xfId="0" applyFont="1" applyFill="1" applyBorder="1" applyAlignment="1">
      <alignment horizontal="center"/>
    </xf>
    <xf numFmtId="0" fontId="20" fillId="3" borderId="29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/>
    </xf>
    <xf numFmtId="44" fontId="14" fillId="0" borderId="14" xfId="1" applyFont="1" applyFill="1" applyBorder="1" applyAlignment="1">
      <alignment horizontal="left"/>
    </xf>
    <xf numFmtId="0" fontId="12" fillId="0" borderId="55" xfId="0" applyFont="1" applyBorder="1" applyAlignment="1">
      <alignment horizontal="center"/>
    </xf>
    <xf numFmtId="44" fontId="12" fillId="0" borderId="55" xfId="0" applyNumberFormat="1" applyFon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3" xfId="0" applyBorder="1" applyAlignment="1">
      <alignment horizontal="center"/>
    </xf>
    <xf numFmtId="44" fontId="14" fillId="0" borderId="0" xfId="0" applyNumberFormat="1" applyFont="1"/>
    <xf numFmtId="0" fontId="14" fillId="0" borderId="27" xfId="0" applyFont="1" applyBorder="1" applyAlignment="1">
      <alignment horizontal="left"/>
    </xf>
    <xf numFmtId="0" fontId="7" fillId="0" borderId="41" xfId="0" applyFont="1" applyBorder="1"/>
    <xf numFmtId="44" fontId="7" fillId="0" borderId="43" xfId="0" applyNumberFormat="1" applyFont="1" applyBorder="1"/>
    <xf numFmtId="42" fontId="0" fillId="0" borderId="87" xfId="0" applyNumberFormat="1" applyBorder="1" applyAlignment="1">
      <alignment vertical="center"/>
    </xf>
    <xf numFmtId="0" fontId="12" fillId="0" borderId="42" xfId="0" applyFont="1" applyBorder="1"/>
    <xf numFmtId="0" fontId="12" fillId="0" borderId="12" xfId="0" applyFont="1" applyBorder="1"/>
    <xf numFmtId="0" fontId="48" fillId="0" borderId="0" xfId="0" applyFont="1"/>
    <xf numFmtId="42" fontId="48" fillId="0" borderId="12" xfId="0" applyNumberFormat="1" applyFont="1" applyBorder="1"/>
    <xf numFmtId="42" fontId="47" fillId="0" borderId="94" xfId="0" applyNumberFormat="1" applyFont="1" applyBorder="1" applyAlignment="1">
      <alignment horizontal="left" vertical="center"/>
    </xf>
    <xf numFmtId="42" fontId="48" fillId="0" borderId="3" xfId="0" applyNumberFormat="1" applyFont="1" applyBorder="1" applyAlignment="1">
      <alignment horizontal="left"/>
    </xf>
    <xf numFmtId="42" fontId="48" fillId="0" borderId="3" xfId="0" applyNumberFormat="1" applyFont="1" applyBorder="1"/>
    <xf numFmtId="42" fontId="48" fillId="0" borderId="78" xfId="0" applyNumberFormat="1" applyFont="1" applyBorder="1" applyAlignment="1">
      <alignment horizontal="left" vertical="center"/>
    </xf>
    <xf numFmtId="42" fontId="48" fillId="0" borderId="6" xfId="0" applyNumberFormat="1" applyFont="1" applyBorder="1" applyAlignment="1">
      <alignment horizontal="left"/>
    </xf>
    <xf numFmtId="42" fontId="48" fillId="0" borderId="22" xfId="0" applyNumberFormat="1" applyFont="1" applyBorder="1" applyAlignment="1">
      <alignment horizontal="left"/>
    </xf>
    <xf numFmtId="44" fontId="14" fillId="0" borderId="14" xfId="1" applyFont="1" applyFill="1" applyBorder="1" applyAlignment="1">
      <alignment horizontal="center"/>
    </xf>
    <xf numFmtId="44" fontId="14" fillId="0" borderId="17" xfId="1" applyFont="1" applyFill="1" applyBorder="1" applyAlignment="1">
      <alignment horizontal="left"/>
    </xf>
    <xf numFmtId="42" fontId="48" fillId="0" borderId="42" xfId="0" applyNumberFormat="1" applyFont="1" applyBorder="1"/>
    <xf numFmtId="0" fontId="16" fillId="0" borderId="12" xfId="0" applyFont="1" applyBorder="1" applyAlignment="1">
      <alignment vertical="top"/>
    </xf>
    <xf numFmtId="42" fontId="48" fillId="0" borderId="8" xfId="0" applyNumberFormat="1" applyFont="1" applyBorder="1" applyAlignment="1">
      <alignment horizontal="left"/>
    </xf>
    <xf numFmtId="0" fontId="8" fillId="0" borderId="24" xfId="2" applyFont="1" applyBorder="1" applyAlignment="1">
      <alignment horizontal="center"/>
    </xf>
    <xf numFmtId="0" fontId="7" fillId="0" borderId="24" xfId="2" applyFont="1" applyBorder="1"/>
    <xf numFmtId="0" fontId="15" fillId="0" borderId="41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/>
    </xf>
    <xf numFmtId="0" fontId="23" fillId="0" borderId="96" xfId="0" applyFont="1" applyBorder="1" applyAlignment="1">
      <alignment horizontal="center"/>
    </xf>
    <xf numFmtId="44" fontId="12" fillId="0" borderId="92" xfId="0" applyNumberFormat="1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2" fontId="0" fillId="0" borderId="0" xfId="0" applyNumberFormat="1"/>
    <xf numFmtId="164" fontId="7" fillId="0" borderId="24" xfId="2" applyNumberFormat="1" applyFont="1" applyBorder="1" applyAlignment="1">
      <alignment horizontal="center"/>
    </xf>
    <xf numFmtId="43" fontId="17" fillId="0" borderId="0" xfId="0" applyNumberFormat="1" applyFont="1"/>
    <xf numFmtId="0" fontId="20" fillId="3" borderId="23" xfId="0" applyFont="1" applyFill="1" applyBorder="1" applyAlignment="1">
      <alignment horizontal="center" vertical="center"/>
    </xf>
    <xf numFmtId="42" fontId="14" fillId="0" borderId="14" xfId="0" applyNumberFormat="1" applyFont="1" applyBorder="1" applyAlignment="1">
      <alignment vertical="center"/>
    </xf>
    <xf numFmtId="42" fontId="14" fillId="0" borderId="14" xfId="0" applyNumberFormat="1" applyFont="1" applyBorder="1"/>
    <xf numFmtId="42" fontId="14" fillId="0" borderId="40" xfId="0" applyNumberFormat="1" applyFont="1" applyBorder="1"/>
    <xf numFmtId="42" fontId="14" fillId="0" borderId="24" xfId="0" applyNumberFormat="1" applyFont="1" applyBorder="1" applyAlignment="1">
      <alignment horizontal="center"/>
    </xf>
    <xf numFmtId="42" fontId="26" fillId="0" borderId="0" xfId="0" applyNumberFormat="1" applyFont="1"/>
    <xf numFmtId="42" fontId="20" fillId="0" borderId="0" xfId="0" applyNumberFormat="1" applyFont="1" applyAlignment="1">
      <alignment vertical="center"/>
    </xf>
    <xf numFmtId="42" fontId="20" fillId="0" borderId="0" xfId="0" applyNumberFormat="1" applyFont="1"/>
    <xf numFmtId="42" fontId="14" fillId="0" borderId="14" xfId="0" applyNumberFormat="1" applyFont="1" applyBorder="1" applyAlignment="1">
      <alignment horizontal="center"/>
    </xf>
    <xf numFmtId="42" fontId="14" fillId="0" borderId="17" xfId="0" applyNumberFormat="1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17" fillId="0" borderId="0" xfId="0" applyNumberFormat="1" applyFont="1"/>
    <xf numFmtId="44" fontId="49" fillId="0" borderId="14" xfId="1" applyFont="1" applyBorder="1" applyAlignment="1">
      <alignment horizontal="center" wrapText="1"/>
    </xf>
    <xf numFmtId="44" fontId="49" fillId="0" borderId="18" xfId="1" applyFont="1" applyBorder="1" applyAlignment="1">
      <alignment horizontal="center" wrapText="1"/>
    </xf>
    <xf numFmtId="44" fontId="49" fillId="0" borderId="1" xfId="1" applyFont="1" applyBorder="1" applyAlignment="1">
      <alignment horizontal="center"/>
    </xf>
    <xf numFmtId="44" fontId="49" fillId="0" borderId="2" xfId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42" fontId="14" fillId="7" borderId="1" xfId="0" applyNumberFormat="1" applyFont="1" applyFill="1" applyBorder="1" applyAlignment="1">
      <alignment horizontal="center"/>
    </xf>
    <xf numFmtId="42" fontId="14" fillId="7" borderId="2" xfId="0" applyNumberFormat="1" applyFont="1" applyFill="1" applyBorder="1" applyAlignment="1">
      <alignment horizontal="center"/>
    </xf>
    <xf numFmtId="44" fontId="14" fillId="0" borderId="18" xfId="0" applyNumberFormat="1" applyFont="1" applyBorder="1"/>
    <xf numFmtId="42" fontId="14" fillId="0" borderId="0" xfId="0" applyNumberFormat="1" applyFont="1"/>
    <xf numFmtId="42" fontId="14" fillId="7" borderId="1" xfId="0" applyNumberFormat="1" applyFont="1" applyFill="1" applyBorder="1"/>
    <xf numFmtId="42" fontId="14" fillId="7" borderId="2" xfId="0" applyNumberFormat="1" applyFont="1" applyFill="1" applyBorder="1"/>
    <xf numFmtId="42" fontId="14" fillId="0" borderId="20" xfId="0" applyNumberFormat="1" applyFont="1" applyBorder="1" applyAlignment="1">
      <alignment horizontal="center" wrapText="1"/>
    </xf>
    <xf numFmtId="42" fontId="6" fillId="0" borderId="72" xfId="0" applyNumberFormat="1" applyFont="1" applyBorder="1" applyAlignment="1">
      <alignment horizontal="center" wrapText="1"/>
    </xf>
    <xf numFmtId="42" fontId="14" fillId="0" borderId="1" xfId="0" applyNumberFormat="1" applyFont="1" applyBorder="1"/>
    <xf numFmtId="42" fontId="14" fillId="0" borderId="2" xfId="0" applyNumberFormat="1" applyFont="1" applyBorder="1"/>
    <xf numFmtId="44" fontId="14" fillId="0" borderId="1" xfId="0" applyNumberFormat="1" applyFont="1" applyBorder="1"/>
    <xf numFmtId="44" fontId="14" fillId="0" borderId="34" xfId="0" applyNumberFormat="1" applyFont="1" applyBorder="1"/>
    <xf numFmtId="44" fontId="14" fillId="0" borderId="46" xfId="0" applyNumberFormat="1" applyFont="1" applyBorder="1"/>
    <xf numFmtId="42" fontId="14" fillId="0" borderId="46" xfId="0" applyNumberFormat="1" applyFont="1" applyBorder="1"/>
    <xf numFmtId="42" fontId="14" fillId="0" borderId="74" xfId="0" applyNumberFormat="1" applyFont="1" applyBorder="1"/>
    <xf numFmtId="42" fontId="14" fillId="0" borderId="75" xfId="0" applyNumberFormat="1" applyFont="1" applyBorder="1"/>
    <xf numFmtId="44" fontId="14" fillId="0" borderId="62" xfId="1" applyFont="1" applyBorder="1" applyAlignment="1">
      <alignment horizontal="center"/>
    </xf>
    <xf numFmtId="42" fontId="14" fillId="0" borderId="62" xfId="1" applyNumberFormat="1" applyFont="1" applyBorder="1" applyAlignment="1">
      <alignment horizontal="center"/>
    </xf>
    <xf numFmtId="42" fontId="14" fillId="0" borderId="73" xfId="1" applyNumberFormat="1" applyFont="1" applyFill="1" applyBorder="1" applyAlignment="1">
      <alignment horizontal="center"/>
    </xf>
    <xf numFmtId="42" fontId="14" fillId="0" borderId="49" xfId="1" applyNumberFormat="1" applyFont="1" applyFill="1" applyBorder="1" applyAlignment="1">
      <alignment horizontal="center"/>
    </xf>
    <xf numFmtId="42" fontId="28" fillId="0" borderId="14" xfId="0" applyNumberFormat="1" applyFont="1" applyBorder="1" applyAlignment="1">
      <alignment horizontal="center"/>
    </xf>
    <xf numFmtId="42" fontId="19" fillId="0" borderId="14" xfId="0" applyNumberFormat="1" applyFont="1" applyBorder="1" applyAlignment="1">
      <alignment horizontal="center"/>
    </xf>
    <xf numFmtId="42" fontId="14" fillId="0" borderId="34" xfId="0" applyNumberFormat="1" applyFont="1" applyBorder="1" applyAlignment="1">
      <alignment horizontal="center"/>
    </xf>
    <xf numFmtId="42" fontId="29" fillId="0" borderId="14" xfId="0" applyNumberFormat="1" applyFont="1" applyBorder="1" applyAlignment="1">
      <alignment horizontal="center"/>
    </xf>
    <xf numFmtId="42" fontId="19" fillId="0" borderId="14" xfId="1" applyNumberFormat="1" applyFont="1" applyBorder="1" applyAlignment="1">
      <alignment horizontal="center"/>
    </xf>
    <xf numFmtId="42" fontId="29" fillId="0" borderId="14" xfId="1" applyNumberFormat="1" applyFont="1" applyBorder="1"/>
    <xf numFmtId="42" fontId="14" fillId="0" borderId="14" xfId="1" applyNumberFormat="1" applyFont="1" applyFill="1" applyBorder="1"/>
    <xf numFmtId="42" fontId="29" fillId="0" borderId="14" xfId="1" applyNumberFormat="1" applyFont="1" applyFill="1" applyBorder="1"/>
    <xf numFmtId="42" fontId="14" fillId="0" borderId="17" xfId="1" applyNumberFormat="1" applyFont="1" applyBorder="1" applyAlignment="1">
      <alignment horizontal="left"/>
    </xf>
    <xf numFmtId="42" fontId="14" fillId="0" borderId="17" xfId="1" applyNumberFormat="1" applyFont="1" applyFill="1" applyBorder="1" applyAlignment="1">
      <alignment horizontal="left"/>
    </xf>
    <xf numFmtId="42" fontId="14" fillId="0" borderId="19" xfId="1" applyNumberFormat="1" applyFont="1" applyBorder="1"/>
    <xf numFmtId="42" fontId="14" fillId="0" borderId="19" xfId="1" applyNumberFormat="1" applyFont="1" applyFill="1" applyBorder="1"/>
    <xf numFmtId="42" fontId="28" fillId="0" borderId="14" xfId="1" applyNumberFormat="1" applyFont="1" applyBorder="1" applyAlignment="1">
      <alignment horizontal="center"/>
    </xf>
    <xf numFmtId="42" fontId="14" fillId="0" borderId="14" xfId="1" applyNumberFormat="1" applyFont="1" applyBorder="1"/>
    <xf numFmtId="42" fontId="14" fillId="0" borderId="14" xfId="1" applyNumberFormat="1" applyFont="1" applyBorder="1" applyAlignment="1">
      <alignment horizontal="center"/>
    </xf>
    <xf numFmtId="42" fontId="14" fillId="0" borderId="17" xfId="1" applyNumberFormat="1" applyFont="1" applyBorder="1" applyAlignment="1">
      <alignment horizontal="center"/>
    </xf>
    <xf numFmtId="42" fontId="14" fillId="0" borderId="17" xfId="1" applyNumberFormat="1" applyFont="1" applyFill="1" applyBorder="1" applyAlignment="1">
      <alignment horizontal="center"/>
    </xf>
    <xf numFmtId="42" fontId="14" fillId="0" borderId="14" xfId="1" applyNumberFormat="1" applyFont="1" applyFill="1" applyBorder="1" applyAlignment="1">
      <alignment horizontal="center"/>
    </xf>
    <xf numFmtId="42" fontId="14" fillId="0" borderId="14" xfId="1" applyNumberFormat="1" applyFont="1" applyBorder="1" applyAlignment="1">
      <alignment horizontal="left"/>
    </xf>
    <xf numFmtId="42" fontId="14" fillId="0" borderId="28" xfId="0" applyNumberFormat="1" applyFont="1" applyBorder="1"/>
    <xf numFmtId="42" fontId="14" fillId="0" borderId="27" xfId="0" applyNumberFormat="1" applyFont="1" applyBorder="1"/>
    <xf numFmtId="42" fontId="14" fillId="0" borderId="27" xfId="1" applyNumberFormat="1" applyFont="1" applyBorder="1" applyAlignment="1">
      <alignment horizontal="left"/>
    </xf>
    <xf numFmtId="42" fontId="14" fillId="0" borderId="27" xfId="1" applyNumberFormat="1" applyFont="1" applyFill="1" applyBorder="1"/>
    <xf numFmtId="42" fontId="14" fillId="0" borderId="24" xfId="0" applyNumberFormat="1" applyFont="1" applyBorder="1"/>
    <xf numFmtId="42" fontId="12" fillId="0" borderId="14" xfId="1" applyNumberFormat="1" applyFont="1" applyBorder="1"/>
    <xf numFmtId="42" fontId="16" fillId="0" borderId="14" xfId="0" applyNumberFormat="1" applyFont="1" applyBorder="1" applyAlignment="1">
      <alignment horizontal="center"/>
    </xf>
    <xf numFmtId="42" fontId="28" fillId="0" borderId="14" xfId="1" applyNumberFormat="1" applyFont="1" applyBorder="1" applyAlignment="1"/>
    <xf numFmtId="42" fontId="28" fillId="0" borderId="14" xfId="1" applyNumberFormat="1" applyFont="1" applyBorder="1"/>
    <xf numFmtId="42" fontId="14" fillId="0" borderId="63" xfId="1" applyNumberFormat="1" applyFont="1" applyBorder="1" applyAlignment="1">
      <alignment horizontal="left"/>
    </xf>
    <xf numFmtId="42" fontId="14" fillId="0" borderId="19" xfId="1" applyNumberFormat="1" applyFont="1" applyFill="1" applyBorder="1" applyAlignment="1">
      <alignment horizontal="left"/>
    </xf>
    <xf numFmtId="42" fontId="14" fillId="0" borderId="2" xfId="0" applyNumberFormat="1" applyFont="1" applyBorder="1" applyAlignment="1">
      <alignment horizontal="center" vertical="center"/>
    </xf>
    <xf numFmtId="42" fontId="14" fillId="0" borderId="17" xfId="0" applyNumberFormat="1" applyFont="1" applyBorder="1"/>
    <xf numFmtId="42" fontId="14" fillId="0" borderId="19" xfId="0" applyNumberFormat="1" applyFont="1" applyBorder="1"/>
    <xf numFmtId="42" fontId="14" fillId="0" borderId="56" xfId="1" applyNumberFormat="1" applyFont="1" applyBorder="1"/>
    <xf numFmtId="42" fontId="14" fillId="0" borderId="17" xfId="1" applyNumberFormat="1" applyFont="1" applyBorder="1"/>
    <xf numFmtId="42" fontId="14" fillId="0" borderId="19" xfId="1" applyNumberFormat="1" applyFont="1" applyBorder="1" applyAlignment="1">
      <alignment horizontal="center"/>
    </xf>
    <xf numFmtId="42" fontId="29" fillId="0" borderId="14" xfId="1" applyNumberFormat="1" applyFont="1" applyBorder="1" applyAlignment="1">
      <alignment horizontal="center"/>
    </xf>
    <xf numFmtId="42" fontId="14" fillId="0" borderId="14" xfId="1" applyNumberFormat="1" applyFont="1" applyBorder="1" applyAlignment="1"/>
    <xf numFmtId="42" fontId="14" fillId="0" borderId="14" xfId="1" applyNumberFormat="1" applyFont="1" applyFill="1" applyBorder="1" applyAlignment="1"/>
    <xf numFmtId="42" fontId="14" fillId="0" borderId="70" xfId="1" applyNumberFormat="1" applyFont="1" applyBorder="1" applyAlignment="1"/>
    <xf numFmtId="42" fontId="14" fillId="0" borderId="66" xfId="1" applyNumberFormat="1" applyFont="1" applyBorder="1" applyAlignment="1">
      <alignment horizontal="center"/>
    </xf>
    <xf numFmtId="42" fontId="14" fillId="0" borderId="63" xfId="0" applyNumberFormat="1" applyFont="1" applyBorder="1"/>
    <xf numFmtId="42" fontId="14" fillId="0" borderId="71" xfId="0" applyNumberFormat="1" applyFont="1" applyBorder="1" applyAlignment="1">
      <alignment horizontal="center"/>
    </xf>
    <xf numFmtId="42" fontId="14" fillId="0" borderId="56" xfId="0" applyNumberFormat="1" applyFont="1" applyBorder="1" applyAlignment="1">
      <alignment horizontal="center"/>
    </xf>
    <xf numFmtId="42" fontId="14" fillId="0" borderId="71" xfId="0" applyNumberFormat="1" applyFont="1" applyBorder="1"/>
    <xf numFmtId="42" fontId="14" fillId="0" borderId="19" xfId="1" applyNumberFormat="1" applyFont="1" applyBorder="1" applyAlignment="1">
      <alignment horizontal="left"/>
    </xf>
    <xf numFmtId="42" fontId="24" fillId="0" borderId="14" xfId="0" applyNumberFormat="1" applyFont="1" applyBorder="1"/>
    <xf numFmtId="42" fontId="24" fillId="0" borderId="17" xfId="0" applyNumberFormat="1" applyFont="1" applyBorder="1"/>
    <xf numFmtId="42" fontId="14" fillId="0" borderId="40" xfId="0" applyNumberFormat="1" applyFont="1" applyBorder="1" applyAlignment="1">
      <alignment horizontal="center"/>
    </xf>
    <xf numFmtId="42" fontId="40" fillId="0" borderId="14" xfId="0" applyNumberFormat="1" applyFont="1" applyBorder="1" applyAlignment="1">
      <alignment horizontal="center"/>
    </xf>
    <xf numFmtId="42" fontId="24" fillId="0" borderId="14" xfId="0" applyNumberFormat="1" applyFont="1" applyBorder="1" applyAlignment="1">
      <alignment horizontal="center"/>
    </xf>
    <xf numFmtId="42" fontId="14" fillId="0" borderId="63" xfId="0" applyNumberFormat="1" applyFont="1" applyBorder="1" applyAlignment="1">
      <alignment horizontal="center"/>
    </xf>
    <xf numFmtId="42" fontId="14" fillId="0" borderId="14" xfId="1" applyNumberFormat="1" applyFont="1" applyFill="1" applyBorder="1" applyAlignment="1">
      <alignment horizontal="left"/>
    </xf>
    <xf numFmtId="42" fontId="14" fillId="0" borderId="63" xfId="1" applyNumberFormat="1" applyFont="1" applyBorder="1"/>
    <xf numFmtId="42" fontId="14" fillId="0" borderId="24" xfId="1" applyNumberFormat="1" applyFont="1" applyBorder="1" applyAlignment="1">
      <alignment horizontal="center"/>
    </xf>
    <xf numFmtId="0" fontId="14" fillId="2" borderId="14" xfId="0" applyFont="1" applyFill="1" applyBorder="1"/>
    <xf numFmtId="44" fontId="14" fillId="2" borderId="14" xfId="1" applyFont="1" applyFill="1" applyBorder="1" applyAlignment="1">
      <alignment horizontal="center"/>
    </xf>
    <xf numFmtId="42" fontId="14" fillId="2" borderId="14" xfId="1" applyNumberFormat="1" applyFont="1" applyFill="1" applyBorder="1" applyAlignment="1">
      <alignment horizontal="center"/>
    </xf>
    <xf numFmtId="44" fontId="14" fillId="0" borderId="40" xfId="1" applyFont="1" applyBorder="1" applyAlignment="1">
      <alignment horizontal="center"/>
    </xf>
    <xf numFmtId="44" fontId="14" fillId="0" borderId="40" xfId="1" applyFont="1" applyFill="1" applyBorder="1" applyAlignment="1">
      <alignment horizontal="center"/>
    </xf>
    <xf numFmtId="42" fontId="14" fillId="0" borderId="40" xfId="1" applyNumberFormat="1" applyFont="1" applyFill="1" applyBorder="1" applyAlignment="1">
      <alignment horizontal="center"/>
    </xf>
    <xf numFmtId="0" fontId="14" fillId="0" borderId="61" xfId="0" applyFont="1" applyBorder="1"/>
    <xf numFmtId="42" fontId="14" fillId="0" borderId="61" xfId="0" applyNumberFormat="1" applyFont="1" applyBorder="1" applyAlignment="1">
      <alignment horizontal="center"/>
    </xf>
    <xf numFmtId="44" fontId="14" fillId="2" borderId="14" xfId="1" applyFont="1" applyFill="1" applyBorder="1"/>
    <xf numFmtId="42" fontId="14" fillId="2" borderId="14" xfId="1" applyNumberFormat="1" applyFont="1" applyFill="1" applyBorder="1"/>
    <xf numFmtId="44" fontId="24" fillId="0" borderId="14" xfId="1" applyFont="1" applyFill="1" applyBorder="1" applyAlignment="1">
      <alignment horizontal="left"/>
    </xf>
    <xf numFmtId="44" fontId="24" fillId="0" borderId="17" xfId="1" applyFont="1" applyFill="1" applyBorder="1" applyAlignment="1">
      <alignment horizontal="left"/>
    </xf>
    <xf numFmtId="44" fontId="24" fillId="0" borderId="63" xfId="1" applyFont="1" applyFill="1" applyBorder="1" applyAlignment="1">
      <alignment horizontal="left"/>
    </xf>
    <xf numFmtId="44" fontId="14" fillId="0" borderId="63" xfId="1" applyFont="1" applyFill="1" applyBorder="1" applyAlignment="1">
      <alignment horizontal="left"/>
    </xf>
    <xf numFmtId="42" fontId="14" fillId="0" borderId="63" xfId="1" applyNumberFormat="1" applyFont="1" applyFill="1" applyBorder="1" applyAlignment="1">
      <alignment horizontal="left"/>
    </xf>
    <xf numFmtId="0" fontId="19" fillId="2" borderId="56" xfId="0" applyFont="1" applyFill="1" applyBorder="1" applyAlignment="1">
      <alignment horizontal="left"/>
    </xf>
    <xf numFmtId="44" fontId="19" fillId="2" borderId="56" xfId="1" applyFont="1" applyFill="1" applyBorder="1"/>
    <xf numFmtId="42" fontId="50" fillId="0" borderId="0" xfId="0" applyNumberFormat="1" applyFont="1"/>
    <xf numFmtId="42" fontId="14" fillId="0" borderId="37" xfId="0" applyNumberFormat="1" applyFont="1" applyBorder="1" applyAlignment="1">
      <alignment vertical="center"/>
    </xf>
    <xf numFmtId="0" fontId="14" fillId="0" borderId="23" xfId="0" applyFont="1" applyBorder="1"/>
    <xf numFmtId="44" fontId="14" fillId="0" borderId="48" xfId="0" applyNumberFormat="1" applyFont="1" applyBorder="1" applyAlignment="1">
      <alignment horizontal="center" vertical="center"/>
    </xf>
    <xf numFmtId="44" fontId="14" fillId="0" borderId="56" xfId="0" applyNumberFormat="1" applyFont="1" applyBorder="1" applyAlignment="1">
      <alignment horizontal="center" vertical="center"/>
    </xf>
    <xf numFmtId="44" fontId="14" fillId="2" borderId="40" xfId="0" applyNumberFormat="1" applyFont="1" applyFill="1" applyBorder="1" applyAlignment="1">
      <alignment horizontal="center" vertical="center"/>
    </xf>
    <xf numFmtId="42" fontId="14" fillId="0" borderId="40" xfId="0" applyNumberFormat="1" applyFont="1" applyBorder="1" applyAlignment="1">
      <alignment horizontal="center" vertical="center"/>
    </xf>
    <xf numFmtId="0" fontId="14" fillId="0" borderId="48" xfId="0" applyFont="1" applyBorder="1"/>
    <xf numFmtId="44" fontId="14" fillId="2" borderId="48" xfId="0" applyNumberFormat="1" applyFont="1" applyFill="1" applyBorder="1" applyAlignment="1">
      <alignment horizontal="center" vertical="center"/>
    </xf>
    <xf numFmtId="42" fontId="14" fillId="0" borderId="48" xfId="0" applyNumberFormat="1" applyFont="1" applyBorder="1" applyAlignment="1">
      <alignment horizontal="center" vertical="center"/>
    </xf>
    <xf numFmtId="42" fontId="14" fillId="0" borderId="46" xfId="0" applyNumberFormat="1" applyFont="1" applyBorder="1" applyAlignment="1">
      <alignment horizontal="center" vertical="center"/>
    </xf>
    <xf numFmtId="44" fontId="14" fillId="0" borderId="23" xfId="0" applyNumberFormat="1" applyFont="1" applyBorder="1"/>
    <xf numFmtId="42" fontId="14" fillId="0" borderId="23" xfId="0" applyNumberFormat="1" applyFont="1" applyBorder="1"/>
    <xf numFmtId="44" fontId="14" fillId="0" borderId="23" xfId="0" applyNumberFormat="1" applyFont="1" applyBorder="1" applyAlignment="1">
      <alignment horizontal="center" vertical="center"/>
    </xf>
    <xf numFmtId="42" fontId="14" fillId="0" borderId="23" xfId="0" applyNumberFormat="1" applyFont="1" applyBorder="1" applyAlignment="1">
      <alignment horizontal="center" vertical="center"/>
    </xf>
    <xf numFmtId="42" fontId="14" fillId="0" borderId="14" xfId="0" applyNumberFormat="1" applyFont="1" applyBorder="1" applyAlignment="1">
      <alignment horizontal="center" vertical="center"/>
    </xf>
    <xf numFmtId="44" fontId="14" fillId="0" borderId="40" xfId="0" applyNumberFormat="1" applyFont="1" applyBorder="1" applyAlignment="1">
      <alignment horizontal="center" vertical="center"/>
    </xf>
    <xf numFmtId="44" fontId="14" fillId="0" borderId="61" xfId="0" applyNumberFormat="1" applyFont="1" applyBorder="1" applyAlignment="1">
      <alignment horizontal="center" vertical="center"/>
    </xf>
    <xf numFmtId="42" fontId="14" fillId="0" borderId="61" xfId="0" applyNumberFormat="1" applyFont="1" applyBorder="1" applyAlignment="1">
      <alignment horizontal="center" vertical="center"/>
    </xf>
    <xf numFmtId="44" fontId="14" fillId="2" borderId="23" xfId="0" applyNumberFormat="1" applyFont="1" applyFill="1" applyBorder="1" applyAlignment="1">
      <alignment horizontal="center" vertical="center"/>
    </xf>
    <xf numFmtId="42" fontId="14" fillId="2" borderId="23" xfId="0" applyNumberFormat="1" applyFont="1" applyFill="1" applyBorder="1" applyAlignment="1">
      <alignment horizontal="center" vertical="center"/>
    </xf>
    <xf numFmtId="44" fontId="14" fillId="2" borderId="14" xfId="0" applyNumberFormat="1" applyFont="1" applyFill="1" applyBorder="1" applyAlignment="1">
      <alignment horizontal="center" vertical="center"/>
    </xf>
    <xf numFmtId="42" fontId="14" fillId="2" borderId="14" xfId="0" applyNumberFormat="1" applyFont="1" applyFill="1" applyBorder="1" applyAlignment="1">
      <alignment horizontal="center" vertical="center"/>
    </xf>
    <xf numFmtId="0" fontId="14" fillId="2" borderId="17" xfId="0" applyFont="1" applyFill="1" applyBorder="1"/>
    <xf numFmtId="0" fontId="14" fillId="2" borderId="23" xfId="0" applyFont="1" applyFill="1" applyBorder="1"/>
    <xf numFmtId="0" fontId="14" fillId="2" borderId="40" xfId="0" applyFont="1" applyFill="1" applyBorder="1"/>
    <xf numFmtId="0" fontId="14" fillId="0" borderId="24" xfId="0" applyFont="1" applyBorder="1"/>
    <xf numFmtId="0" fontId="51" fillId="0" borderId="17" xfId="0" applyFont="1" applyBorder="1"/>
    <xf numFmtId="0" fontId="14" fillId="0" borderId="14" xfId="0" applyFont="1" applyBorder="1" applyAlignment="1">
      <alignment horizontal="left" wrapText="1"/>
    </xf>
    <xf numFmtId="44" fontId="14" fillId="0" borderId="34" xfId="1" applyFont="1" applyBorder="1"/>
    <xf numFmtId="0" fontId="14" fillId="0" borderId="14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44" fontId="14" fillId="0" borderId="66" xfId="0" applyNumberFormat="1" applyFont="1" applyBorder="1"/>
    <xf numFmtId="42" fontId="14" fillId="0" borderId="66" xfId="0" applyNumberFormat="1" applyFont="1" applyBorder="1"/>
    <xf numFmtId="44" fontId="14" fillId="0" borderId="88" xfId="0" applyNumberFormat="1" applyFont="1" applyBorder="1" applyAlignment="1">
      <alignment horizontal="center" vertical="center"/>
    </xf>
    <xf numFmtId="42" fontId="14" fillId="0" borderId="88" xfId="0" applyNumberFormat="1" applyFont="1" applyBorder="1" applyAlignment="1">
      <alignment horizontal="center" vertical="center"/>
    </xf>
    <xf numFmtId="8" fontId="14" fillId="0" borderId="19" xfId="0" applyNumberFormat="1" applyFont="1" applyBorder="1"/>
    <xf numFmtId="42" fontId="14" fillId="0" borderId="40" xfId="1" applyNumberFormat="1" applyFont="1" applyBorder="1" applyAlignment="1">
      <alignment horizontal="center"/>
    </xf>
    <xf numFmtId="44" fontId="14" fillId="0" borderId="61" xfId="1" applyFont="1" applyBorder="1" applyAlignment="1">
      <alignment horizontal="center"/>
    </xf>
    <xf numFmtId="42" fontId="14" fillId="0" borderId="61" xfId="1" applyNumberFormat="1" applyFont="1" applyBorder="1" applyAlignment="1">
      <alignment horizontal="center"/>
    </xf>
    <xf numFmtId="0" fontId="14" fillId="0" borderId="20" xfId="0" applyFont="1" applyBorder="1"/>
    <xf numFmtId="44" fontId="14" fillId="0" borderId="40" xfId="1" applyFont="1" applyBorder="1"/>
    <xf numFmtId="44" fontId="14" fillId="0" borderId="91" xfId="0" applyNumberFormat="1" applyFont="1" applyBorder="1"/>
    <xf numFmtId="44" fontId="14" fillId="0" borderId="65" xfId="0" applyNumberFormat="1" applyFont="1" applyBorder="1"/>
    <xf numFmtId="44" fontId="14" fillId="0" borderId="58" xfId="0" applyNumberFormat="1" applyFont="1" applyBorder="1"/>
    <xf numFmtId="42" fontId="14" fillId="0" borderId="10" xfId="0" applyNumberFormat="1" applyFont="1" applyBorder="1"/>
    <xf numFmtId="42" fontId="14" fillId="0" borderId="44" xfId="0" applyNumberFormat="1" applyFont="1" applyBorder="1"/>
    <xf numFmtId="42" fontId="14" fillId="0" borderId="43" xfId="0" applyNumberFormat="1" applyFont="1" applyBorder="1"/>
    <xf numFmtId="0" fontId="14" fillId="0" borderId="18" xfId="0" applyFont="1" applyBorder="1" applyAlignment="1">
      <alignment horizontal="left" wrapText="1"/>
    </xf>
    <xf numFmtId="42" fontId="14" fillId="0" borderId="19" xfId="1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44" fontId="14" fillId="0" borderId="27" xfId="0" applyNumberFormat="1" applyFont="1" applyBorder="1" applyAlignment="1">
      <alignment horizontal="center"/>
    </xf>
    <xf numFmtId="42" fontId="14" fillId="0" borderId="27" xfId="0" applyNumberFormat="1" applyFont="1" applyBorder="1" applyAlignment="1">
      <alignment horizontal="center"/>
    </xf>
    <xf numFmtId="44" fontId="14" fillId="0" borderId="86" xfId="0" applyNumberFormat="1" applyFont="1" applyBorder="1"/>
    <xf numFmtId="42" fontId="14" fillId="0" borderId="86" xfId="0" applyNumberFormat="1" applyFont="1" applyBorder="1"/>
    <xf numFmtId="44" fontId="14" fillId="0" borderId="61" xfId="0" applyNumberFormat="1" applyFont="1" applyBorder="1"/>
    <xf numFmtId="42" fontId="14" fillId="0" borderId="61" xfId="0" applyNumberFormat="1" applyFont="1" applyBorder="1"/>
    <xf numFmtId="0" fontId="14" fillId="0" borderId="72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42" fontId="14" fillId="0" borderId="34" xfId="0" applyNumberFormat="1" applyFont="1" applyBorder="1"/>
    <xf numFmtId="43" fontId="14" fillId="0" borderId="34" xfId="0" applyNumberFormat="1" applyFont="1" applyBorder="1"/>
    <xf numFmtId="0" fontId="14" fillId="0" borderId="1" xfId="0" applyFont="1" applyBorder="1" applyAlignment="1">
      <alignment horizontal="left" wrapText="1"/>
    </xf>
    <xf numFmtId="43" fontId="14" fillId="0" borderId="23" xfId="0" applyNumberFormat="1" applyFont="1" applyBorder="1"/>
    <xf numFmtId="43" fontId="14" fillId="0" borderId="14" xfId="0" applyNumberFormat="1" applyFont="1" applyBorder="1"/>
    <xf numFmtId="43" fontId="14" fillId="0" borderId="40" xfId="0" applyNumberFormat="1" applyFont="1" applyBorder="1"/>
    <xf numFmtId="42" fontId="14" fillId="0" borderId="56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37" xfId="0" applyFont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44" fontId="14" fillId="0" borderId="17" xfId="1" applyFont="1" applyBorder="1" applyAlignment="1"/>
    <xf numFmtId="42" fontId="14" fillId="0" borderId="17" xfId="1" applyNumberFormat="1" applyFont="1" applyBorder="1" applyAlignment="1"/>
    <xf numFmtId="44" fontId="12" fillId="0" borderId="100" xfId="0" applyNumberFormat="1" applyFont="1" applyBorder="1" applyAlignment="1">
      <alignment horizontal="center"/>
    </xf>
    <xf numFmtId="44" fontId="12" fillId="0" borderId="101" xfId="0" applyNumberFormat="1" applyFont="1" applyBorder="1" applyAlignment="1">
      <alignment horizontal="center"/>
    </xf>
    <xf numFmtId="0" fontId="12" fillId="0" borderId="96" xfId="0" applyFont="1" applyBorder="1" applyAlignment="1">
      <alignment horizontal="center"/>
    </xf>
    <xf numFmtId="42" fontId="45" fillId="0" borderId="35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42" fontId="14" fillId="0" borderId="39" xfId="0" applyNumberFormat="1" applyFont="1" applyBorder="1"/>
    <xf numFmtId="0" fontId="19" fillId="0" borderId="24" xfId="0" applyFont="1" applyBorder="1" applyAlignment="1">
      <alignment horizontal="center"/>
    </xf>
    <xf numFmtId="42" fontId="14" fillId="0" borderId="88" xfId="0" applyNumberFormat="1" applyFont="1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8" fontId="20" fillId="0" borderId="0" xfId="0" applyNumberFormat="1" applyFont="1"/>
    <xf numFmtId="0" fontId="24" fillId="0" borderId="61" xfId="0" applyFont="1" applyBorder="1" applyAlignment="1">
      <alignment horizontal="left"/>
    </xf>
    <xf numFmtId="0" fontId="20" fillId="3" borderId="37" xfId="0" applyFont="1" applyFill="1" applyBorder="1" applyAlignment="1">
      <alignment horizontal="center"/>
    </xf>
    <xf numFmtId="0" fontId="17" fillId="0" borderId="16" xfId="0" applyFont="1" applyBorder="1"/>
    <xf numFmtId="44" fontId="17" fillId="0" borderId="64" xfId="1" applyFont="1" applyFill="1" applyBorder="1"/>
    <xf numFmtId="0" fontId="14" fillId="0" borderId="27" xfId="0" applyFont="1" applyBorder="1"/>
    <xf numFmtId="42" fontId="14" fillId="0" borderId="38" xfId="0" applyNumberFormat="1" applyFont="1" applyBorder="1"/>
    <xf numFmtId="42" fontId="20" fillId="0" borderId="46" xfId="0" applyNumberFormat="1" applyFont="1" applyBorder="1" applyAlignment="1">
      <alignment vertical="center"/>
    </xf>
    <xf numFmtId="42" fontId="14" fillId="0" borderId="72" xfId="0" applyNumberFormat="1" applyFont="1" applyBorder="1"/>
    <xf numFmtId="42" fontId="45" fillId="0" borderId="35" xfId="0" applyNumberFormat="1" applyFont="1" applyBorder="1" applyAlignment="1">
      <alignment textRotation="90"/>
    </xf>
    <xf numFmtId="0" fontId="14" fillId="0" borderId="34" xfId="0" applyFont="1" applyBorder="1"/>
    <xf numFmtId="0" fontId="14" fillId="0" borderId="72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25" fillId="0" borderId="12" xfId="0" applyFont="1" applyBorder="1" applyAlignment="1">
      <alignment horizontal="left" vertical="center"/>
    </xf>
    <xf numFmtId="42" fontId="48" fillId="0" borderId="26" xfId="0" applyNumberFormat="1" applyFont="1" applyBorder="1" applyAlignment="1">
      <alignment vertical="center"/>
    </xf>
    <xf numFmtId="0" fontId="16" fillId="0" borderId="12" xfId="0" applyFont="1" applyBorder="1" applyAlignment="1">
      <alignment horizontal="left"/>
    </xf>
    <xf numFmtId="0" fontId="16" fillId="0" borderId="26" xfId="0" applyFont="1" applyBorder="1" applyAlignment="1">
      <alignment vertical="top"/>
    </xf>
    <xf numFmtId="44" fontId="14" fillId="0" borderId="34" xfId="0" applyNumberFormat="1" applyFont="1" applyBorder="1" applyAlignment="1">
      <alignment horizontal="center" vertical="center"/>
    </xf>
    <xf numFmtId="42" fontId="14" fillId="0" borderId="34" xfId="0" applyNumberFormat="1" applyFont="1" applyBorder="1" applyAlignment="1">
      <alignment horizontal="center" vertical="center"/>
    </xf>
    <xf numFmtId="42" fontId="19" fillId="0" borderId="46" xfId="0" applyNumberFormat="1" applyFont="1" applyBorder="1" applyAlignment="1">
      <alignment horizontal="center" vertical="center"/>
    </xf>
    <xf numFmtId="42" fontId="19" fillId="0" borderId="61" xfId="0" applyNumberFormat="1" applyFont="1" applyBorder="1" applyAlignment="1">
      <alignment vertical="center"/>
    </xf>
    <xf numFmtId="0" fontId="2" fillId="0" borderId="0" xfId="8"/>
    <xf numFmtId="0" fontId="2" fillId="0" borderId="50" xfId="8" applyBorder="1" applyAlignment="1">
      <alignment horizontal="center"/>
    </xf>
    <xf numFmtId="0" fontId="2" fillId="0" borderId="31" xfId="8" applyBorder="1" applyAlignment="1">
      <alignment horizontal="center"/>
    </xf>
    <xf numFmtId="0" fontId="2" fillId="0" borderId="31" xfId="8" applyBorder="1"/>
    <xf numFmtId="0" fontId="2" fillId="0" borderId="51" xfId="8" applyBorder="1"/>
    <xf numFmtId="0" fontId="2" fillId="0" borderId="102" xfId="8" applyBorder="1" applyAlignment="1">
      <alignment horizontal="center"/>
    </xf>
    <xf numFmtId="168" fontId="2" fillId="0" borderId="0" xfId="8" applyNumberFormat="1" applyAlignment="1">
      <alignment horizontal="center"/>
    </xf>
    <xf numFmtId="168" fontId="2" fillId="0" borderId="0" xfId="8" applyNumberFormat="1"/>
    <xf numFmtId="168" fontId="2" fillId="0" borderId="103" xfId="8" applyNumberFormat="1" applyBorder="1"/>
    <xf numFmtId="0" fontId="2" fillId="0" borderId="104" xfId="8" applyBorder="1"/>
    <xf numFmtId="44" fontId="2" fillId="0" borderId="35" xfId="8" applyNumberFormat="1" applyBorder="1"/>
    <xf numFmtId="44" fontId="2" fillId="0" borderId="105" xfId="8" applyNumberFormat="1" applyBorder="1"/>
    <xf numFmtId="0" fontId="2" fillId="0" borderId="102" xfId="8" applyBorder="1"/>
    <xf numFmtId="42" fontId="2" fillId="0" borderId="0" xfId="8" applyNumberFormat="1"/>
    <xf numFmtId="42" fontId="2" fillId="0" borderId="103" xfId="8" applyNumberFormat="1" applyBorder="1"/>
    <xf numFmtId="0" fontId="2" fillId="0" borderId="54" xfId="8" applyBorder="1"/>
    <xf numFmtId="44" fontId="2" fillId="0" borderId="38" xfId="8" applyNumberFormat="1" applyBorder="1"/>
    <xf numFmtId="44" fontId="2" fillId="0" borderId="101" xfId="8" applyNumberFormat="1" applyBorder="1"/>
    <xf numFmtId="0" fontId="2" fillId="0" borderId="103" xfId="8" applyBorder="1"/>
    <xf numFmtId="0" fontId="2" fillId="0" borderId="52" xfId="8" applyBorder="1"/>
    <xf numFmtId="44" fontId="2" fillId="0" borderId="32" xfId="8" applyNumberFormat="1" applyBorder="1"/>
    <xf numFmtId="44" fontId="2" fillId="0" borderId="33" xfId="8" applyNumberFormat="1" applyBorder="1"/>
    <xf numFmtId="42" fontId="14" fillId="0" borderId="16" xfId="0" applyNumberFormat="1" applyFont="1" applyBorder="1"/>
    <xf numFmtId="42" fontId="14" fillId="0" borderId="64" xfId="0" applyNumberFormat="1" applyFont="1" applyBorder="1"/>
    <xf numFmtId="0" fontId="39" fillId="0" borderId="3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38" xfId="0" applyFont="1" applyBorder="1" applyAlignment="1">
      <alignment vertical="center" wrapText="1"/>
    </xf>
    <xf numFmtId="44" fontId="14" fillId="0" borderId="66" xfId="0" applyNumberFormat="1" applyFont="1" applyBorder="1" applyAlignment="1">
      <alignment horizontal="center"/>
    </xf>
    <xf numFmtId="42" fontId="14" fillId="0" borderId="66" xfId="0" applyNumberFormat="1" applyFont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39" fillId="0" borderId="50" xfId="0" applyFont="1" applyBorder="1" applyAlignment="1">
      <alignment vertical="center" wrapText="1"/>
    </xf>
    <xf numFmtId="0" fontId="39" fillId="0" borderId="54" xfId="0" applyFont="1" applyBorder="1" applyAlignment="1">
      <alignment vertical="center" wrapText="1"/>
    </xf>
    <xf numFmtId="42" fontId="14" fillId="0" borderId="17" xfId="1" applyNumberFormat="1" applyFont="1" applyFill="1" applyBorder="1"/>
    <xf numFmtId="42" fontId="20" fillId="0" borderId="36" xfId="0" applyNumberFormat="1" applyFont="1" applyBorder="1" applyAlignment="1">
      <alignment horizontal="center" vertical="center"/>
    </xf>
    <xf numFmtId="42" fontId="20" fillId="0" borderId="60" xfId="0" applyNumberFormat="1" applyFont="1" applyBorder="1" applyAlignment="1">
      <alignment horizontal="center" vertical="center"/>
    </xf>
    <xf numFmtId="42" fontId="20" fillId="0" borderId="39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6" fillId="0" borderId="27" xfId="0" applyNumberFormat="1" applyFont="1" applyBorder="1" applyAlignment="1">
      <alignment horizontal="center"/>
    </xf>
    <xf numFmtId="42" fontId="45" fillId="0" borderId="35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5" fontId="17" fillId="0" borderId="0" xfId="0" applyNumberFormat="1" applyFont="1" applyAlignment="1">
      <alignment horizontal="center" vertical="center"/>
    </xf>
    <xf numFmtId="44" fontId="14" fillId="0" borderId="17" xfId="0" applyNumberFormat="1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33" fillId="5" borderId="41" xfId="0" applyFont="1" applyFill="1" applyBorder="1" applyAlignment="1">
      <alignment horizontal="center" vertical="center"/>
    </xf>
    <xf numFmtId="0" fontId="33" fillId="5" borderId="42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/>
    </xf>
    <xf numFmtId="42" fontId="19" fillId="0" borderId="48" xfId="0" applyNumberFormat="1" applyFont="1" applyBorder="1" applyAlignment="1">
      <alignment horizontal="center" vertical="center"/>
    </xf>
    <xf numFmtId="42" fontId="19" fillId="0" borderId="34" xfId="0" applyNumberFormat="1" applyFont="1" applyBorder="1" applyAlignment="1">
      <alignment horizontal="center" vertical="center"/>
    </xf>
    <xf numFmtId="42" fontId="19" fillId="0" borderId="61" xfId="0" applyNumberFormat="1" applyFont="1" applyBorder="1" applyAlignment="1">
      <alignment horizontal="center" vertical="center"/>
    </xf>
    <xf numFmtId="42" fontId="14" fillId="0" borderId="48" xfId="0" applyNumberFormat="1" applyFont="1" applyBorder="1" applyAlignment="1">
      <alignment horizontal="center" vertical="center"/>
    </xf>
    <xf numFmtId="42" fontId="14" fillId="0" borderId="34" xfId="0" applyNumberFormat="1" applyFont="1" applyBorder="1" applyAlignment="1">
      <alignment horizontal="center" vertical="center"/>
    </xf>
    <xf numFmtId="44" fontId="14" fillId="0" borderId="48" xfId="0" applyNumberFormat="1" applyFont="1" applyBorder="1" applyAlignment="1">
      <alignment horizontal="center" vertical="center"/>
    </xf>
    <xf numFmtId="44" fontId="14" fillId="0" borderId="56" xfId="0" applyNumberFormat="1" applyFont="1" applyBorder="1" applyAlignment="1">
      <alignment horizontal="center" vertical="center"/>
    </xf>
    <xf numFmtId="164" fontId="12" fillId="0" borderId="68" xfId="0" applyNumberFormat="1" applyFont="1" applyBorder="1" applyAlignment="1">
      <alignment horizontal="center"/>
    </xf>
    <xf numFmtId="164" fontId="12" fillId="0" borderId="62" xfId="0" applyNumberFormat="1" applyFont="1" applyBorder="1" applyAlignment="1">
      <alignment horizontal="center"/>
    </xf>
    <xf numFmtId="164" fontId="12" fillId="0" borderId="69" xfId="0" applyNumberFormat="1" applyFont="1" applyBorder="1" applyAlignment="1">
      <alignment horizontal="center"/>
    </xf>
    <xf numFmtId="0" fontId="46" fillId="6" borderId="0" xfId="0" applyFont="1" applyFill="1" applyAlignment="1">
      <alignment horizontal="center" vertical="center" textRotation="90"/>
    </xf>
    <xf numFmtId="0" fontId="39" fillId="0" borderId="31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10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0" borderId="99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" fillId="0" borderId="50" xfId="8" applyBorder="1" applyAlignment="1">
      <alignment horizontal="center"/>
    </xf>
    <xf numFmtId="0" fontId="2" fillId="0" borderId="31" xfId="8" applyBorder="1" applyAlignment="1">
      <alignment horizontal="center"/>
    </xf>
    <xf numFmtId="0" fontId="2" fillId="0" borderId="51" xfId="8" applyBorder="1" applyAlignment="1">
      <alignment horizontal="center"/>
    </xf>
    <xf numFmtId="0" fontId="1" fillId="0" borderId="102" xfId="8" applyFont="1" applyBorder="1" applyAlignment="1">
      <alignment horizontal="center"/>
    </xf>
    <xf numFmtId="0" fontId="2" fillId="0" borderId="0" xfId="8" applyAlignment="1">
      <alignment horizontal="center"/>
    </xf>
    <xf numFmtId="0" fontId="2" fillId="0" borderId="103" xfId="8" applyBorder="1" applyAlignment="1">
      <alignment horizontal="center"/>
    </xf>
    <xf numFmtId="0" fontId="2" fillId="0" borderId="52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33" xfId="8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left"/>
    </xf>
    <xf numFmtId="0" fontId="0" fillId="0" borderId="24" xfId="0" applyBorder="1"/>
    <xf numFmtId="0" fontId="20" fillId="0" borderId="0" xfId="0" applyFont="1" applyFill="1"/>
    <xf numFmtId="41" fontId="20" fillId="0" borderId="0" xfId="0" applyNumberFormat="1" applyFont="1" applyFill="1"/>
    <xf numFmtId="10" fontId="20" fillId="0" borderId="0" xfId="0" applyNumberFormat="1" applyFont="1" applyFill="1"/>
    <xf numFmtId="0" fontId="13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left" vertical="center"/>
    </xf>
    <xf numFmtId="0" fontId="47" fillId="0" borderId="107" xfId="0" applyFont="1" applyBorder="1" applyAlignment="1">
      <alignment horizontal="center" vertical="center" wrapText="1"/>
    </xf>
    <xf numFmtId="0" fontId="0" fillId="0" borderId="108" xfId="0" applyBorder="1"/>
    <xf numFmtId="43" fontId="47" fillId="0" borderId="109" xfId="0" applyNumberFormat="1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/>
    </xf>
    <xf numFmtId="42" fontId="42" fillId="0" borderId="82" xfId="0" applyNumberFormat="1" applyFont="1" applyBorder="1"/>
    <xf numFmtId="0" fontId="12" fillId="0" borderId="76" xfId="0" applyFont="1" applyBorder="1" applyAlignment="1">
      <alignment horizontal="center"/>
    </xf>
    <xf numFmtId="42" fontId="42" fillId="0" borderId="110" xfId="0" applyNumberFormat="1" applyFont="1" applyBorder="1"/>
    <xf numFmtId="0" fontId="12" fillId="0" borderId="79" xfId="0" applyFont="1" applyBorder="1" applyAlignment="1">
      <alignment horizontal="center"/>
    </xf>
    <xf numFmtId="0" fontId="12" fillId="0" borderId="0" xfId="0" applyFont="1" applyBorder="1"/>
    <xf numFmtId="42" fontId="0" fillId="0" borderId="0" xfId="0" applyNumberFormat="1" applyBorder="1"/>
    <xf numFmtId="42" fontId="42" fillId="0" borderId="92" xfId="0" applyNumberFormat="1" applyFont="1" applyBorder="1"/>
    <xf numFmtId="0" fontId="16" fillId="0" borderId="89" xfId="0" applyFont="1" applyBorder="1" applyAlignment="1">
      <alignment vertical="top"/>
    </xf>
    <xf numFmtId="42" fontId="42" fillId="0" borderId="84" xfId="0" applyNumberFormat="1" applyFont="1" applyBorder="1" applyAlignment="1">
      <alignment vertical="center"/>
    </xf>
    <xf numFmtId="0" fontId="16" fillId="0" borderId="90" xfId="0" applyFont="1" applyBorder="1" applyAlignment="1">
      <alignment horizontal="center" vertical="center"/>
    </xf>
    <xf numFmtId="42" fontId="42" fillId="0" borderId="33" xfId="0" applyNumberFormat="1" applyFont="1" applyBorder="1"/>
    <xf numFmtId="0" fontId="12" fillId="0" borderId="0" xfId="0" applyFont="1" applyBorder="1" applyAlignment="1">
      <alignment horizontal="left"/>
    </xf>
    <xf numFmtId="42" fontId="42" fillId="0" borderId="82" xfId="1" quotePrefix="1" applyNumberFormat="1" applyFont="1" applyFill="1" applyBorder="1"/>
    <xf numFmtId="42" fontId="42" fillId="0" borderId="77" xfId="1" quotePrefix="1" applyNumberFormat="1" applyFont="1" applyFill="1" applyBorder="1"/>
    <xf numFmtId="42" fontId="42" fillId="0" borderId="80" xfId="1" applyNumberFormat="1" applyFont="1" applyFill="1" applyBorder="1"/>
    <xf numFmtId="0" fontId="12" fillId="0" borderId="83" xfId="0" applyFont="1" applyBorder="1" applyAlignment="1">
      <alignment horizontal="center"/>
    </xf>
    <xf numFmtId="42" fontId="42" fillId="0" borderId="84" xfId="1" applyNumberFormat="1" applyFont="1" applyFill="1" applyBorder="1"/>
    <xf numFmtId="42" fontId="42" fillId="0" borderId="77" xfId="1" applyNumberFormat="1" applyFont="1" applyFill="1" applyBorder="1"/>
    <xf numFmtId="0" fontId="12" fillId="0" borderId="85" xfId="0" applyFont="1" applyBorder="1" applyAlignment="1">
      <alignment horizontal="center"/>
    </xf>
    <xf numFmtId="42" fontId="42" fillId="0" borderId="82" xfId="1" applyNumberFormat="1" applyFont="1" applyFill="1" applyBorder="1"/>
    <xf numFmtId="0" fontId="11" fillId="0" borderId="111" xfId="0" applyFont="1" applyBorder="1" applyAlignment="1">
      <alignment horizontal="center"/>
    </xf>
    <xf numFmtId="42" fontId="42" fillId="0" borderId="112" xfId="1" applyNumberFormat="1" applyFont="1" applyFill="1" applyBorder="1"/>
    <xf numFmtId="0" fontId="0" fillId="0" borderId="102" xfId="0" applyBorder="1" applyAlignment="1">
      <alignment horizontal="center"/>
    </xf>
    <xf numFmtId="0" fontId="11" fillId="0" borderId="0" xfId="0" applyFont="1" applyBorder="1" applyAlignment="1">
      <alignment horizontal="left"/>
    </xf>
    <xf numFmtId="42" fontId="48" fillId="0" borderId="0" xfId="0" applyNumberFormat="1" applyFont="1" applyBorder="1" applyAlignment="1">
      <alignment horizontal="left"/>
    </xf>
    <xf numFmtId="42" fontId="0" fillId="0" borderId="103" xfId="0" applyNumberFormat="1" applyBorder="1"/>
    <xf numFmtId="0" fontId="0" fillId="0" borderId="0" xfId="0" applyBorder="1"/>
    <xf numFmtId="42" fontId="48" fillId="0" borderId="0" xfId="0" applyNumberFormat="1" applyFont="1" applyBorder="1"/>
    <xf numFmtId="0" fontId="0" fillId="0" borderId="52" xfId="0" applyBorder="1" applyAlignment="1">
      <alignment horizontal="center"/>
    </xf>
    <xf numFmtId="0" fontId="0" fillId="0" borderId="32" xfId="0" applyBorder="1"/>
    <xf numFmtId="42" fontId="31" fillId="0" borderId="32" xfId="0" applyNumberFormat="1" applyFont="1" applyBorder="1"/>
    <xf numFmtId="42" fontId="31" fillId="0" borderId="33" xfId="0" applyNumberFormat="1" applyFont="1" applyBorder="1"/>
    <xf numFmtId="0" fontId="34" fillId="0" borderId="106" xfId="0" applyFont="1" applyBorder="1" applyAlignment="1">
      <alignment horizontal="center" vertical="center" wrapText="1"/>
    </xf>
  </cellXfs>
  <cellStyles count="9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colors>
    <mruColors>
      <color rgb="FFFFDE75"/>
      <color rgb="FFFFDC6D"/>
      <color rgb="FFFFD96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16" bestFit="1" customWidth="1"/>
    <col min="2" max="2" width="30.28515625" bestFit="1" customWidth="1"/>
    <col min="3" max="3" width="3" customWidth="1"/>
    <col min="4" max="4" width="14.42578125" style="370" customWidth="1"/>
    <col min="5" max="5" width="3" customWidth="1"/>
    <col min="6" max="6" width="14.42578125" style="244" bestFit="1" customWidth="1"/>
  </cols>
  <sheetData>
    <row r="1" spans="1:6" ht="33" customHeight="1" thickBot="1" x14ac:dyDescent="0.25">
      <c r="A1" s="735" t="s">
        <v>779</v>
      </c>
      <c r="B1" s="697" t="s">
        <v>370</v>
      </c>
      <c r="C1" s="698"/>
      <c r="D1" s="699" t="s">
        <v>778</v>
      </c>
      <c r="E1" s="700"/>
      <c r="F1" s="701" t="s">
        <v>777</v>
      </c>
    </row>
    <row r="2" spans="1:6" ht="12.75" customHeight="1" x14ac:dyDescent="0.2">
      <c r="A2" s="702">
        <v>407</v>
      </c>
      <c r="B2" s="287" t="s">
        <v>194</v>
      </c>
      <c r="C2" s="369"/>
      <c r="D2" s="371">
        <v>300000</v>
      </c>
      <c r="E2" s="347"/>
      <c r="F2" s="703">
        <f>REVENUE!P3</f>
        <v>450000</v>
      </c>
    </row>
    <row r="3" spans="1:6" ht="12.6" customHeight="1" x14ac:dyDescent="0.2">
      <c r="A3" s="704">
        <v>410</v>
      </c>
      <c r="B3" s="53" t="s">
        <v>193</v>
      </c>
      <c r="C3" s="369"/>
      <c r="D3" s="374">
        <v>2164182</v>
      </c>
      <c r="E3" s="347"/>
      <c r="F3" s="705">
        <f>REVENUE!P4</f>
        <v>3155850.8611099999</v>
      </c>
    </row>
    <row r="4" spans="1:6" ht="12.6" customHeight="1" x14ac:dyDescent="0.2">
      <c r="A4" s="704">
        <v>415</v>
      </c>
      <c r="B4" s="53" t="s">
        <v>17</v>
      </c>
      <c r="C4" s="369"/>
      <c r="D4" s="374">
        <v>5019761</v>
      </c>
      <c r="E4" s="347"/>
      <c r="F4" s="705">
        <f>REVENUE!P7</f>
        <v>5341984.375</v>
      </c>
    </row>
    <row r="5" spans="1:6" ht="12.6" customHeight="1" x14ac:dyDescent="0.2">
      <c r="A5" s="704" t="s">
        <v>229</v>
      </c>
      <c r="B5" s="53" t="s">
        <v>230</v>
      </c>
      <c r="C5" s="369"/>
      <c r="D5" s="374">
        <v>37000</v>
      </c>
      <c r="E5" s="347"/>
      <c r="F5" s="705">
        <f>REVENUE!Q8</f>
        <v>37000</v>
      </c>
    </row>
    <row r="6" spans="1:6" ht="12.6" customHeight="1" x14ac:dyDescent="0.2">
      <c r="A6" s="704" t="s">
        <v>43</v>
      </c>
      <c r="B6" s="53" t="s">
        <v>44</v>
      </c>
      <c r="C6" s="369"/>
      <c r="D6" s="374">
        <v>98000</v>
      </c>
      <c r="E6" s="347"/>
      <c r="F6" s="705">
        <f>REVENUE!Q11</f>
        <v>98000</v>
      </c>
    </row>
    <row r="7" spans="1:6" hidden="1" x14ac:dyDescent="0.2">
      <c r="A7" s="704">
        <v>475</v>
      </c>
      <c r="B7" s="53" t="s">
        <v>45</v>
      </c>
      <c r="C7" s="369"/>
      <c r="D7" s="374"/>
      <c r="E7" s="347"/>
      <c r="F7" s="705">
        <f>REVENUE!I14</f>
        <v>0</v>
      </c>
    </row>
    <row r="8" spans="1:6" ht="12.6" customHeight="1" x14ac:dyDescent="0.2">
      <c r="A8" s="704" t="s">
        <v>46</v>
      </c>
      <c r="B8" s="53" t="s">
        <v>47</v>
      </c>
      <c r="C8" s="369"/>
      <c r="D8" s="374">
        <v>3000</v>
      </c>
      <c r="E8" s="347"/>
      <c r="F8" s="705">
        <f>REVENUE!Q15</f>
        <v>3000</v>
      </c>
    </row>
    <row r="9" spans="1:6" ht="12.6" customHeight="1" x14ac:dyDescent="0.2">
      <c r="A9" s="706" t="s">
        <v>288</v>
      </c>
      <c r="B9" s="288" t="s">
        <v>48</v>
      </c>
      <c r="C9" s="369"/>
      <c r="D9" s="371">
        <v>90750</v>
      </c>
      <c r="E9" s="347"/>
      <c r="F9" s="705">
        <f>REVENUE!Q17</f>
        <v>82400</v>
      </c>
    </row>
    <row r="10" spans="1:6" ht="3" customHeight="1" x14ac:dyDescent="0.2">
      <c r="A10" s="584"/>
      <c r="B10" s="368"/>
      <c r="C10" s="707"/>
      <c r="D10" s="380"/>
      <c r="E10" s="708"/>
      <c r="F10" s="709"/>
    </row>
    <row r="11" spans="1:6" s="245" customFormat="1" ht="20.25" customHeight="1" x14ac:dyDescent="0.2">
      <c r="A11" s="710"/>
      <c r="B11" s="609" t="s">
        <v>87</v>
      </c>
      <c r="C11" s="381"/>
      <c r="D11" s="607">
        <f>SUM(D2:D10)</f>
        <v>7712693</v>
      </c>
      <c r="E11" s="367"/>
      <c r="F11" s="711">
        <f>SUM(F2:F10)</f>
        <v>9168235.2361099999</v>
      </c>
    </row>
    <row r="12" spans="1:6" ht="22.5" customHeight="1" thickBot="1" x14ac:dyDescent="0.25">
      <c r="A12" s="712" t="s">
        <v>287</v>
      </c>
      <c r="B12" s="195" t="s">
        <v>643</v>
      </c>
      <c r="C12" s="606"/>
      <c r="D12" s="372"/>
      <c r="E12" s="347"/>
      <c r="F12" s="713"/>
    </row>
    <row r="13" spans="1:6" ht="12.6" customHeight="1" x14ac:dyDescent="0.2">
      <c r="A13" s="702">
        <v>501</v>
      </c>
      <c r="B13" s="55" t="s">
        <v>75</v>
      </c>
      <c r="C13" s="714"/>
      <c r="D13" s="376">
        <v>34609</v>
      </c>
      <c r="E13" s="708"/>
      <c r="F13" s="715">
        <f>'501 PROPERTY TAX FEES'!O10</f>
        <v>37355.716250000005</v>
      </c>
    </row>
    <row r="14" spans="1:6" ht="12.6" customHeight="1" x14ac:dyDescent="0.2">
      <c r="A14" s="704">
        <v>502</v>
      </c>
      <c r="B14" s="54" t="s">
        <v>137</v>
      </c>
      <c r="C14" s="714"/>
      <c r="D14" s="373">
        <v>100395</v>
      </c>
      <c r="E14" s="708"/>
      <c r="F14" s="716">
        <f>'502 SALES TAX COLLECTION COSTS'!O10</f>
        <v>106839.6875</v>
      </c>
    </row>
    <row r="15" spans="1:6" ht="12.6" customHeight="1" x14ac:dyDescent="0.2">
      <c r="A15" s="706">
        <v>503</v>
      </c>
      <c r="B15" s="56" t="s">
        <v>94</v>
      </c>
      <c r="C15" s="714"/>
      <c r="D15" s="377">
        <v>49051</v>
      </c>
      <c r="E15" s="708"/>
      <c r="F15" s="717">
        <f>'503 SUNSET VALLEY'!O10</f>
        <v>34937.423003975702</v>
      </c>
    </row>
    <row r="16" spans="1:6" ht="12.6" customHeight="1" x14ac:dyDescent="0.2">
      <c r="A16" s="718">
        <v>601</v>
      </c>
      <c r="B16" s="57" t="s">
        <v>189</v>
      </c>
      <c r="C16" s="714"/>
      <c r="D16" s="376">
        <v>0</v>
      </c>
      <c r="E16" s="708"/>
      <c r="F16" s="719">
        <f>'601 APPARATUS PMTS.'!O21</f>
        <v>35000</v>
      </c>
    </row>
    <row r="17" spans="1:6" ht="12.6" customHeight="1" x14ac:dyDescent="0.2">
      <c r="A17" s="704">
        <v>603</v>
      </c>
      <c r="B17" s="54" t="s">
        <v>174</v>
      </c>
      <c r="C17" s="714"/>
      <c r="D17" s="373">
        <v>284970</v>
      </c>
      <c r="E17" s="708"/>
      <c r="F17" s="720">
        <f>'603 DISPATCH &amp; COMM'!O22</f>
        <v>129556.93000000001</v>
      </c>
    </row>
    <row r="18" spans="1:6" ht="12.6" customHeight="1" x14ac:dyDescent="0.2">
      <c r="A18" s="704">
        <v>604</v>
      </c>
      <c r="B18" s="54" t="s">
        <v>88</v>
      </c>
      <c r="C18" s="714"/>
      <c r="D18" s="373">
        <v>36000</v>
      </c>
      <c r="E18" s="708"/>
      <c r="F18" s="720">
        <f>'604 FUEL'!O9</f>
        <v>30000</v>
      </c>
    </row>
    <row r="19" spans="1:6" ht="12.6" customHeight="1" x14ac:dyDescent="0.2">
      <c r="A19" s="704">
        <v>605</v>
      </c>
      <c r="B19" s="53" t="s">
        <v>150</v>
      </c>
      <c r="C19" s="707"/>
      <c r="D19" s="374">
        <v>17979</v>
      </c>
      <c r="E19" s="708"/>
      <c r="F19" s="720">
        <f>'605 SCBA'!O25</f>
        <v>42979</v>
      </c>
    </row>
    <row r="20" spans="1:6" ht="12.6" customHeight="1" x14ac:dyDescent="0.2">
      <c r="A20" s="704">
        <v>606</v>
      </c>
      <c r="B20" s="53" t="s">
        <v>83</v>
      </c>
      <c r="C20" s="707"/>
      <c r="D20" s="374">
        <v>112400</v>
      </c>
      <c r="E20" s="708"/>
      <c r="F20" s="720">
        <f>'606 VEH MTN REP'!O28</f>
        <v>155950</v>
      </c>
    </row>
    <row r="21" spans="1:6" ht="12.6" customHeight="1" x14ac:dyDescent="0.2">
      <c r="A21" s="704">
        <v>608</v>
      </c>
      <c r="B21" s="54" t="s">
        <v>175</v>
      </c>
      <c r="C21" s="714"/>
      <c r="D21" s="373">
        <v>72300</v>
      </c>
      <c r="E21" s="708"/>
      <c r="F21" s="720">
        <f>'608 VEHICLE SUPPLIES'!O35</f>
        <v>74400</v>
      </c>
    </row>
    <row r="22" spans="1:6" ht="12.6" customHeight="1" x14ac:dyDescent="0.2">
      <c r="A22" s="704">
        <v>609</v>
      </c>
      <c r="B22" s="54" t="s">
        <v>132</v>
      </c>
      <c r="C22" s="714"/>
      <c r="D22" s="373">
        <v>137669</v>
      </c>
      <c r="E22" s="708"/>
      <c r="F22" s="720">
        <f>'609 UNIFORMS &amp; PROTECTIVE GEAR'!O10</f>
        <v>102519.3</v>
      </c>
    </row>
    <row r="23" spans="1:6" ht="12.6" customHeight="1" x14ac:dyDescent="0.2">
      <c r="A23" s="704">
        <v>611</v>
      </c>
      <c r="B23" s="54" t="s">
        <v>470</v>
      </c>
      <c r="C23" s="714"/>
      <c r="D23" s="373">
        <v>22300</v>
      </c>
      <c r="E23" s="708"/>
      <c r="F23" s="720">
        <f>'611 EMS SUPPLIES'!O14</f>
        <v>32500</v>
      </c>
    </row>
    <row r="24" spans="1:6" ht="12.6" customHeight="1" x14ac:dyDescent="0.2">
      <c r="A24" s="706">
        <v>612</v>
      </c>
      <c r="B24" s="56" t="s">
        <v>469</v>
      </c>
      <c r="C24" s="714"/>
      <c r="D24" s="382">
        <v>3000</v>
      </c>
      <c r="E24" s="708"/>
      <c r="F24" s="717">
        <f>'612 REHAB SUPPLIES'!O10</f>
        <v>3000</v>
      </c>
    </row>
    <row r="25" spans="1:6" ht="12.6" customHeight="1" x14ac:dyDescent="0.2">
      <c r="A25" s="706">
        <v>613</v>
      </c>
      <c r="B25" s="56" t="s">
        <v>197</v>
      </c>
      <c r="C25" s="714"/>
      <c r="D25" s="377">
        <v>28172</v>
      </c>
      <c r="E25" s="708"/>
      <c r="F25" s="717">
        <f>'613 AUTO INSURANCE'!O8</f>
        <v>35215.589062499996</v>
      </c>
    </row>
    <row r="26" spans="1:6" ht="12.6" customHeight="1" x14ac:dyDescent="0.2">
      <c r="A26" s="718">
        <v>632</v>
      </c>
      <c r="B26" s="57" t="s">
        <v>151</v>
      </c>
      <c r="C26" s="714"/>
      <c r="D26" s="376">
        <v>154300</v>
      </c>
      <c r="E26" s="708"/>
      <c r="F26" s="719">
        <f>'632 FIRE &amp; RESCUE TRAINING'!O43</f>
        <v>104800</v>
      </c>
    </row>
    <row r="27" spans="1:6" ht="12.6" customHeight="1" x14ac:dyDescent="0.2">
      <c r="A27" s="704">
        <v>633</v>
      </c>
      <c r="B27" s="54" t="s">
        <v>135</v>
      </c>
      <c r="C27" s="714"/>
      <c r="D27" s="373">
        <v>71375</v>
      </c>
      <c r="E27" s="708"/>
      <c r="F27" s="720">
        <f>'633 SEMINARS &amp; CONFERENCES'!O24</f>
        <v>83225</v>
      </c>
    </row>
    <row r="28" spans="1:6" ht="12.6" customHeight="1" x14ac:dyDescent="0.2">
      <c r="A28" s="706">
        <v>634</v>
      </c>
      <c r="B28" s="56" t="s">
        <v>468</v>
      </c>
      <c r="C28" s="714"/>
      <c r="D28" s="373">
        <v>76175</v>
      </c>
      <c r="E28" s="708"/>
      <c r="F28" s="717">
        <f>'634 FIRE ACADEMY'!O33</f>
        <v>87175</v>
      </c>
    </row>
    <row r="29" spans="1:6" ht="12.6" customHeight="1" x14ac:dyDescent="0.2">
      <c r="A29" s="706">
        <v>635</v>
      </c>
      <c r="B29" s="56" t="s">
        <v>467</v>
      </c>
      <c r="C29" s="714"/>
      <c r="D29" s="382">
        <v>25250</v>
      </c>
      <c r="E29" s="708"/>
      <c r="F29" s="717">
        <f>'635 EMT CERT COURSE'!O19</f>
        <v>35100</v>
      </c>
    </row>
    <row r="30" spans="1:6" ht="12.6" customHeight="1" x14ac:dyDescent="0.2">
      <c r="A30" s="721">
        <v>636</v>
      </c>
      <c r="B30" s="58" t="s">
        <v>291</v>
      </c>
      <c r="C30" s="714"/>
      <c r="D30" s="377">
        <v>1624</v>
      </c>
      <c r="E30" s="708"/>
      <c r="F30" s="717">
        <f>'636 VENDING MACHINES'!O10</f>
        <v>0</v>
      </c>
    </row>
    <row r="31" spans="1:6" ht="12.6" customHeight="1" x14ac:dyDescent="0.2">
      <c r="A31" s="702">
        <v>641</v>
      </c>
      <c r="B31" s="55" t="s">
        <v>134</v>
      </c>
      <c r="C31" s="714"/>
      <c r="D31" s="376">
        <v>1605393</v>
      </c>
      <c r="E31" s="708"/>
      <c r="F31" s="719">
        <f>'641 BENEFITS'!O28</f>
        <v>1895462.672</v>
      </c>
    </row>
    <row r="32" spans="1:6" ht="12.6" customHeight="1" x14ac:dyDescent="0.2">
      <c r="A32" s="704">
        <v>642</v>
      </c>
      <c r="B32" s="54" t="s">
        <v>380</v>
      </c>
      <c r="C32" s="714"/>
      <c r="D32" s="373">
        <v>4176662</v>
      </c>
      <c r="E32" s="708"/>
      <c r="F32" s="722">
        <v>4686204</v>
      </c>
    </row>
    <row r="33" spans="1:6" ht="12.6" customHeight="1" x14ac:dyDescent="0.2">
      <c r="A33" s="704">
        <v>643</v>
      </c>
      <c r="B33" s="54" t="s">
        <v>32</v>
      </c>
      <c r="C33" s="714"/>
      <c r="D33" s="373">
        <v>11250</v>
      </c>
      <c r="E33" s="708"/>
      <c r="F33" s="720">
        <f>'643 RECOGNITION'!O14</f>
        <v>13750</v>
      </c>
    </row>
    <row r="34" spans="1:6" ht="12.6" customHeight="1" x14ac:dyDescent="0.2">
      <c r="A34" s="704">
        <v>644</v>
      </c>
      <c r="B34" s="54" t="s">
        <v>49</v>
      </c>
      <c r="C34" s="714"/>
      <c r="D34" s="373">
        <v>14190</v>
      </c>
      <c r="E34" s="708"/>
      <c r="F34" s="717">
        <f>'644 CERTIFICATIONS'!O22</f>
        <v>18240</v>
      </c>
    </row>
    <row r="35" spans="1:6" ht="11.25" customHeight="1" x14ac:dyDescent="0.2">
      <c r="A35" s="721">
        <v>645</v>
      </c>
      <c r="B35" s="58" t="s">
        <v>76</v>
      </c>
      <c r="C35" s="714"/>
      <c r="D35" s="377">
        <v>3500</v>
      </c>
      <c r="E35" s="708"/>
      <c r="F35" s="717">
        <f>'645 RECRUITMENT'!O18</f>
        <v>4000</v>
      </c>
    </row>
    <row r="36" spans="1:6" ht="12.6" customHeight="1" x14ac:dyDescent="0.2">
      <c r="A36" s="718">
        <v>651</v>
      </c>
      <c r="B36" s="57" t="s">
        <v>133</v>
      </c>
      <c r="C36" s="714"/>
      <c r="D36" s="376">
        <v>160960</v>
      </c>
      <c r="E36" s="708"/>
      <c r="F36" s="719">
        <f>'651 BLDG GROUND MAINT'!O51</f>
        <v>251610</v>
      </c>
    </row>
    <row r="37" spans="1:6" ht="12.6" customHeight="1" x14ac:dyDescent="0.2">
      <c r="A37" s="704">
        <v>652</v>
      </c>
      <c r="B37" s="54" t="s">
        <v>129</v>
      </c>
      <c r="C37" s="714"/>
      <c r="D37" s="373">
        <v>14000</v>
      </c>
      <c r="E37" s="708"/>
      <c r="F37" s="720">
        <f>'652 OFFICE SUPPLIES'!O18</f>
        <v>14850</v>
      </c>
    </row>
    <row r="38" spans="1:6" ht="12.6" customHeight="1" x14ac:dyDescent="0.2">
      <c r="A38" s="704">
        <v>653</v>
      </c>
      <c r="B38" s="54" t="s">
        <v>138</v>
      </c>
      <c r="C38" s="714"/>
      <c r="D38" s="373">
        <v>12900</v>
      </c>
      <c r="E38" s="708"/>
      <c r="F38" s="720">
        <f>'653 STATION SUPPLIES'!O19</f>
        <v>33500</v>
      </c>
    </row>
    <row r="39" spans="1:6" ht="12.6" customHeight="1" x14ac:dyDescent="0.2">
      <c r="A39" s="704">
        <v>654</v>
      </c>
      <c r="B39" s="54" t="s">
        <v>92</v>
      </c>
      <c r="C39" s="714"/>
      <c r="D39" s="373">
        <v>3075</v>
      </c>
      <c r="E39" s="708"/>
      <c r="F39" s="720">
        <f>'654 BANK FEES'!O13</f>
        <v>4875</v>
      </c>
    </row>
    <row r="40" spans="1:6" ht="12.6" customHeight="1" x14ac:dyDescent="0.2">
      <c r="A40" s="704">
        <v>655</v>
      </c>
      <c r="B40" s="54" t="s">
        <v>136</v>
      </c>
      <c r="C40" s="714"/>
      <c r="D40" s="373">
        <v>7260</v>
      </c>
      <c r="E40" s="708"/>
      <c r="F40" s="720">
        <f>'655 DUES AND SUBSCRIPTIONS'!O23</f>
        <v>6960</v>
      </c>
    </row>
    <row r="41" spans="1:6" ht="12.6" customHeight="1" x14ac:dyDescent="0.2">
      <c r="A41" s="704">
        <v>656</v>
      </c>
      <c r="B41" s="54" t="s">
        <v>93</v>
      </c>
      <c r="C41" s="714"/>
      <c r="D41" s="373">
        <v>74337</v>
      </c>
      <c r="E41" s="708"/>
      <c r="F41" s="720">
        <f>'656 INFORMATION TECHNOLOGY'!O29</f>
        <v>79340.953999999998</v>
      </c>
    </row>
    <row r="42" spans="1:6" ht="12.6" customHeight="1" x14ac:dyDescent="0.2">
      <c r="A42" s="704">
        <v>657</v>
      </c>
      <c r="B42" s="54" t="s">
        <v>91</v>
      </c>
      <c r="C42" s="714"/>
      <c r="D42" s="373">
        <v>2750</v>
      </c>
      <c r="E42" s="708"/>
      <c r="F42" s="720">
        <f>'657 POSTAGE'!O11</f>
        <v>3300</v>
      </c>
    </row>
    <row r="43" spans="1:6" ht="12.6" customHeight="1" x14ac:dyDescent="0.2">
      <c r="A43" s="704">
        <v>658</v>
      </c>
      <c r="B43" s="54" t="s">
        <v>190</v>
      </c>
      <c r="C43" s="714"/>
      <c r="D43" s="373">
        <v>45246</v>
      </c>
      <c r="E43" s="708"/>
      <c r="F43" s="720">
        <f>'658 PROP &amp; LIABILITY'!O16</f>
        <v>45471.643499999998</v>
      </c>
    </row>
    <row r="44" spans="1:6" ht="12.6" customHeight="1" x14ac:dyDescent="0.2">
      <c r="A44" s="704">
        <v>659</v>
      </c>
      <c r="B44" s="54" t="s">
        <v>163</v>
      </c>
      <c r="C44" s="714"/>
      <c r="D44" s="373">
        <v>100700</v>
      </c>
      <c r="E44" s="708"/>
      <c r="F44" s="720">
        <f>'659 PROFESSIONAL SVCS'!O15</f>
        <v>100700</v>
      </c>
    </row>
    <row r="45" spans="1:6" ht="12.6" customHeight="1" x14ac:dyDescent="0.2">
      <c r="A45" s="704">
        <v>660</v>
      </c>
      <c r="B45" s="54" t="s">
        <v>164</v>
      </c>
      <c r="C45" s="714"/>
      <c r="D45" s="373">
        <v>1045</v>
      </c>
      <c r="E45" s="708"/>
      <c r="F45" s="720">
        <f>'660 PUBLIC NOTICES'!O13</f>
        <v>1045</v>
      </c>
    </row>
    <row r="46" spans="1:6" ht="12.6" customHeight="1" x14ac:dyDescent="0.2">
      <c r="A46" s="704">
        <v>661</v>
      </c>
      <c r="B46" s="54" t="s">
        <v>89</v>
      </c>
      <c r="C46" s="714"/>
      <c r="D46" s="373">
        <v>14920</v>
      </c>
      <c r="E46" s="708"/>
      <c r="F46" s="720">
        <f>'661 TELEPHONE'!O12</f>
        <v>14920</v>
      </c>
    </row>
    <row r="47" spans="1:6" ht="12.6" customHeight="1" x14ac:dyDescent="0.2">
      <c r="A47" s="704">
        <v>662</v>
      </c>
      <c r="B47" s="54" t="s">
        <v>90</v>
      </c>
      <c r="C47" s="714"/>
      <c r="D47" s="373">
        <v>77089</v>
      </c>
      <c r="E47" s="708"/>
      <c r="F47" s="720">
        <f>'662 UTILITIES'!O17</f>
        <v>79956.035999999993</v>
      </c>
    </row>
    <row r="48" spans="1:6" ht="12.6" customHeight="1" x14ac:dyDescent="0.2">
      <c r="A48" s="704">
        <v>663</v>
      </c>
      <c r="B48" s="54" t="s">
        <v>100</v>
      </c>
      <c r="C48" s="714"/>
      <c r="D48" s="373">
        <v>89950</v>
      </c>
      <c r="E48" s="708"/>
      <c r="F48" s="720">
        <f>'663 BOND DEBT SVC'!O15</f>
        <v>82400</v>
      </c>
    </row>
    <row r="49" spans="1:6" ht="12.6" customHeight="1" x14ac:dyDescent="0.2">
      <c r="A49" s="704">
        <v>664</v>
      </c>
      <c r="B49" s="54" t="s">
        <v>165</v>
      </c>
      <c r="C49" s="714"/>
      <c r="D49" s="373">
        <v>4500</v>
      </c>
      <c r="E49" s="708"/>
      <c r="F49" s="717">
        <f>'664 TCESD COMPENSATION'!O11</f>
        <v>4500</v>
      </c>
    </row>
    <row r="50" spans="1:6" x14ac:dyDescent="0.2">
      <c r="A50" s="704">
        <v>665</v>
      </c>
      <c r="B50" s="54" t="s">
        <v>19</v>
      </c>
      <c r="C50" s="714"/>
      <c r="D50" s="373">
        <v>27500</v>
      </c>
      <c r="E50" s="708"/>
      <c r="F50" s="720">
        <f>'665 GRANT MATCHING'!O13</f>
        <v>27500</v>
      </c>
    </row>
    <row r="51" spans="1:6" ht="12.6" customHeight="1" x14ac:dyDescent="0.2">
      <c r="A51" s="704">
        <v>671</v>
      </c>
      <c r="B51" s="54" t="s">
        <v>77</v>
      </c>
      <c r="C51" s="714"/>
      <c r="D51" s="373">
        <v>1750</v>
      </c>
      <c r="E51" s="708"/>
      <c r="F51" s="720">
        <f>'671 PREVENTION'!O17</f>
        <v>1600</v>
      </c>
    </row>
    <row r="52" spans="1:6" ht="12.6" customHeight="1" x14ac:dyDescent="0.2">
      <c r="A52" s="704">
        <v>672</v>
      </c>
      <c r="B52" s="54" t="s">
        <v>177</v>
      </c>
      <c r="C52" s="714"/>
      <c r="D52" s="373">
        <v>32250</v>
      </c>
      <c r="E52" s="708"/>
      <c r="F52" s="720">
        <f>'672 PUBLIC EDUCATION'!O16</f>
        <v>35250</v>
      </c>
    </row>
    <row r="53" spans="1:6" ht="17.25" customHeight="1" thickBot="1" x14ac:dyDescent="0.25">
      <c r="A53" s="723"/>
      <c r="B53" s="605" t="s">
        <v>87</v>
      </c>
      <c r="C53" s="608"/>
      <c r="D53" s="375">
        <f>SUM(D13:D52)+2</f>
        <v>7708798</v>
      </c>
      <c r="E53" s="347"/>
      <c r="F53" s="724">
        <f>SUM(F13:F52)+1</f>
        <v>8535989.9513164759</v>
      </c>
    </row>
    <row r="54" spans="1:6" ht="13.5" hidden="1" thickTop="1" x14ac:dyDescent="0.2">
      <c r="A54" s="725"/>
      <c r="B54" s="12" t="s">
        <v>198</v>
      </c>
      <c r="C54" s="726"/>
      <c r="D54" s="727"/>
      <c r="E54" s="708"/>
      <c r="F54" s="728"/>
    </row>
    <row r="55" spans="1:6" ht="8.25" customHeight="1" thickTop="1" x14ac:dyDescent="0.2">
      <c r="A55" s="725"/>
      <c r="B55" s="729"/>
      <c r="C55" s="729"/>
      <c r="D55" s="730"/>
      <c r="E55" s="708"/>
      <c r="F55" s="728"/>
    </row>
    <row r="56" spans="1:6" ht="15.75" thickBot="1" x14ac:dyDescent="0.4">
      <c r="A56" s="731"/>
      <c r="B56" s="732" t="s">
        <v>518</v>
      </c>
      <c r="C56" s="732"/>
      <c r="D56" s="733">
        <f>D11-D53-1</f>
        <v>3894</v>
      </c>
      <c r="E56" s="733"/>
      <c r="F56" s="734">
        <f>F11-F53+1</f>
        <v>632246.28479352407</v>
      </c>
    </row>
    <row r="57" spans="1:6" x14ac:dyDescent="0.2">
      <c r="E57" s="194"/>
      <c r="F57" s="194"/>
    </row>
    <row r="58" spans="1:6" x14ac:dyDescent="0.2">
      <c r="E58" s="194"/>
      <c r="F58" s="194"/>
    </row>
    <row r="59" spans="1:6" x14ac:dyDescent="0.2">
      <c r="E59" s="194"/>
      <c r="F59" s="194"/>
    </row>
    <row r="60" spans="1:6" x14ac:dyDescent="0.2">
      <c r="E60" s="194"/>
      <c r="F60" s="194"/>
    </row>
  </sheetData>
  <phoneticPr fontId="21" type="noConversion"/>
  <printOptions horizontalCentered="1"/>
  <pageMargins left="0.5" right="0.25" top="0.5" bottom="0.25" header="0" footer="0"/>
  <pageSetup scale="99"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67" bestFit="1" customWidth="1"/>
    <col min="2" max="4" width="11.7109375" style="18" hidden="1" customWidth="1"/>
    <col min="5" max="5" width="11.42578125" style="18" hidden="1" customWidth="1"/>
    <col min="6" max="6" width="11.85546875" style="18" hidden="1" customWidth="1"/>
    <col min="7" max="8" width="12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351" t="s">
        <v>166</v>
      </c>
      <c r="B1" s="145"/>
      <c r="C1" s="145"/>
      <c r="D1" s="145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97"/>
      <c r="B4" s="71"/>
      <c r="C4" s="81"/>
      <c r="D4" s="81"/>
      <c r="E4" s="81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s="36" customFormat="1" ht="17.100000000000001" customHeight="1" x14ac:dyDescent="0.3">
      <c r="A5" s="29" t="s">
        <v>557</v>
      </c>
      <c r="B5" s="32">
        <v>500</v>
      </c>
      <c r="C5" s="39">
        <v>500</v>
      </c>
      <c r="D5" s="39">
        <v>500</v>
      </c>
      <c r="E5" s="39">
        <v>500</v>
      </c>
      <c r="F5" s="446">
        <v>300</v>
      </c>
      <c r="G5" s="446">
        <v>300</v>
      </c>
      <c r="H5" s="446">
        <f t="shared" ref="H5:M5" si="0">4*300</f>
        <v>1200</v>
      </c>
      <c r="I5" s="446">
        <f t="shared" si="0"/>
        <v>1200</v>
      </c>
      <c r="J5" s="446">
        <f t="shared" si="0"/>
        <v>1200</v>
      </c>
      <c r="K5" s="446">
        <f t="shared" si="0"/>
        <v>1200</v>
      </c>
      <c r="L5" s="446">
        <f t="shared" si="0"/>
        <v>1200</v>
      </c>
      <c r="M5" s="446">
        <f t="shared" si="0"/>
        <v>1200</v>
      </c>
      <c r="N5" s="446">
        <f>4*350</f>
        <v>1400</v>
      </c>
      <c r="O5" s="446">
        <f>4*350</f>
        <v>1400</v>
      </c>
    </row>
    <row r="6" spans="1:15" s="36" customFormat="1" ht="17.100000000000001" hidden="1" customHeight="1" x14ac:dyDescent="0.3">
      <c r="A6" s="29" t="s">
        <v>117</v>
      </c>
      <c r="B6" s="32">
        <v>500</v>
      </c>
      <c r="C6" s="39">
        <v>500</v>
      </c>
      <c r="D6" s="39">
        <v>500</v>
      </c>
      <c r="E6" s="39">
        <v>500</v>
      </c>
      <c r="F6" s="446">
        <v>300</v>
      </c>
      <c r="G6" s="446">
        <v>300</v>
      </c>
      <c r="H6" s="446"/>
      <c r="I6" s="446"/>
      <c r="J6" s="446"/>
      <c r="K6" s="446"/>
      <c r="L6" s="446"/>
      <c r="M6" s="446"/>
      <c r="N6" s="446"/>
      <c r="O6" s="446"/>
    </row>
    <row r="7" spans="1:15" ht="17.100000000000001" hidden="1" customHeight="1" x14ac:dyDescent="0.3">
      <c r="A7" s="29" t="s">
        <v>117</v>
      </c>
      <c r="B7" s="32">
        <v>500</v>
      </c>
      <c r="C7" s="39">
        <v>500</v>
      </c>
      <c r="D7" s="39">
        <v>500</v>
      </c>
      <c r="E7" s="39">
        <v>500</v>
      </c>
      <c r="F7" s="446">
        <v>300</v>
      </c>
      <c r="G7" s="446">
        <v>300</v>
      </c>
      <c r="H7" s="446"/>
      <c r="I7" s="446"/>
      <c r="J7" s="446"/>
      <c r="K7" s="446"/>
      <c r="L7" s="446"/>
      <c r="M7" s="446"/>
      <c r="N7" s="446"/>
      <c r="O7" s="446"/>
    </row>
    <row r="8" spans="1:15" ht="17.100000000000001" hidden="1" customHeight="1" x14ac:dyDescent="0.3">
      <c r="A8" s="29" t="s">
        <v>117</v>
      </c>
      <c r="B8" s="32">
        <v>500</v>
      </c>
      <c r="C8" s="39">
        <v>500</v>
      </c>
      <c r="D8" s="39">
        <v>500</v>
      </c>
      <c r="E8" s="39">
        <v>500</v>
      </c>
      <c r="F8" s="446">
        <v>300</v>
      </c>
      <c r="G8" s="446">
        <v>300</v>
      </c>
      <c r="H8" s="446"/>
      <c r="I8" s="446"/>
      <c r="J8" s="446"/>
      <c r="K8" s="446"/>
      <c r="L8" s="446"/>
      <c r="M8" s="446"/>
      <c r="N8" s="446"/>
      <c r="O8" s="446"/>
    </row>
    <row r="9" spans="1:15" ht="17.100000000000001" customHeight="1" x14ac:dyDescent="0.3">
      <c r="A9" s="29" t="s">
        <v>118</v>
      </c>
      <c r="B9" s="32">
        <v>1500</v>
      </c>
      <c r="C9" s="39">
        <v>1500</v>
      </c>
      <c r="D9" s="39">
        <v>2000</v>
      </c>
      <c r="E9" s="39"/>
      <c r="F9" s="446">
        <v>500</v>
      </c>
      <c r="G9" s="446">
        <v>500</v>
      </c>
      <c r="H9" s="446">
        <v>500</v>
      </c>
      <c r="I9" s="446">
        <v>300</v>
      </c>
      <c r="J9" s="446">
        <v>300</v>
      </c>
      <c r="K9" s="446">
        <v>500</v>
      </c>
      <c r="L9" s="446">
        <v>500</v>
      </c>
      <c r="M9" s="446">
        <v>500</v>
      </c>
      <c r="N9" s="446">
        <v>500</v>
      </c>
      <c r="O9" s="446">
        <v>500</v>
      </c>
    </row>
    <row r="10" spans="1:15" ht="17.100000000000001" customHeight="1" x14ac:dyDescent="0.3">
      <c r="A10" s="29" t="s">
        <v>119</v>
      </c>
      <c r="B10" s="32">
        <v>1900</v>
      </c>
      <c r="C10" s="39">
        <v>4000</v>
      </c>
      <c r="D10" s="39">
        <v>5000</v>
      </c>
      <c r="E10" s="39">
        <v>5000</v>
      </c>
      <c r="F10" s="446">
        <v>5000</v>
      </c>
      <c r="G10" s="446">
        <v>5000</v>
      </c>
      <c r="H10" s="446">
        <v>5000</v>
      </c>
      <c r="I10" s="446">
        <v>5000</v>
      </c>
      <c r="J10" s="446">
        <v>5000</v>
      </c>
      <c r="K10" s="446">
        <v>5000</v>
      </c>
      <c r="L10" s="446">
        <f>2500*2</f>
        <v>5000</v>
      </c>
      <c r="M10" s="446">
        <f>2500*2</f>
        <v>5000</v>
      </c>
      <c r="N10" s="446">
        <f>2750*2</f>
        <v>5500</v>
      </c>
      <c r="O10" s="446">
        <f>2750*2</f>
        <v>5500</v>
      </c>
    </row>
    <row r="11" spans="1:15" ht="17.100000000000001" customHeight="1" x14ac:dyDescent="0.3">
      <c r="A11" s="29" t="s">
        <v>704</v>
      </c>
      <c r="B11" s="46">
        <v>1080</v>
      </c>
      <c r="C11" s="39">
        <v>1500</v>
      </c>
      <c r="D11" s="39">
        <v>1500</v>
      </c>
      <c r="E11" s="39">
        <v>1500</v>
      </c>
      <c r="F11" s="446">
        <f>30*35</f>
        <v>1050</v>
      </c>
      <c r="G11" s="446">
        <f>30*35</f>
        <v>1050</v>
      </c>
      <c r="H11" s="446">
        <f>30*35</f>
        <v>1050</v>
      </c>
      <c r="I11" s="446">
        <f t="shared" ref="I11:M11" si="1">32*44</f>
        <v>1408</v>
      </c>
      <c r="J11" s="446">
        <f t="shared" si="1"/>
        <v>1408</v>
      </c>
      <c r="K11" s="446">
        <f t="shared" si="1"/>
        <v>1408</v>
      </c>
      <c r="L11" s="446">
        <f t="shared" si="1"/>
        <v>1408</v>
      </c>
      <c r="M11" s="446">
        <f t="shared" si="1"/>
        <v>1408</v>
      </c>
      <c r="N11" s="446">
        <f>38*48</f>
        <v>1824</v>
      </c>
      <c r="O11" s="446">
        <f>38*48</f>
        <v>1824</v>
      </c>
    </row>
    <row r="12" spans="1:15" ht="17.100000000000001" customHeight="1" x14ac:dyDescent="0.3">
      <c r="A12" s="28" t="s">
        <v>705</v>
      </c>
      <c r="B12" s="46"/>
      <c r="C12" s="38">
        <v>1300</v>
      </c>
      <c r="D12" s="38">
        <v>1000</v>
      </c>
      <c r="E12" s="38">
        <v>1000</v>
      </c>
      <c r="F12" s="447">
        <f>35*29</f>
        <v>1015</v>
      </c>
      <c r="G12" s="447">
        <f>43*29</f>
        <v>1247</v>
      </c>
      <c r="H12" s="447">
        <f>43*29</f>
        <v>1247</v>
      </c>
      <c r="I12" s="447">
        <f t="shared" ref="I12:M12" si="2">35*30</f>
        <v>1050</v>
      </c>
      <c r="J12" s="447">
        <f t="shared" si="2"/>
        <v>1050</v>
      </c>
      <c r="K12" s="447">
        <f t="shared" si="2"/>
        <v>1050</v>
      </c>
      <c r="L12" s="447">
        <f t="shared" si="2"/>
        <v>1050</v>
      </c>
      <c r="M12" s="447">
        <f t="shared" si="2"/>
        <v>1050</v>
      </c>
      <c r="N12" s="447">
        <f>38*35</f>
        <v>1330</v>
      </c>
      <c r="O12" s="447">
        <f>38*35</f>
        <v>1330</v>
      </c>
    </row>
    <row r="13" spans="1:15" ht="17.100000000000001" customHeight="1" x14ac:dyDescent="0.3">
      <c r="A13" s="29" t="s">
        <v>706</v>
      </c>
      <c r="B13" s="46">
        <v>1000</v>
      </c>
      <c r="C13" s="39">
        <v>750</v>
      </c>
      <c r="D13" s="39">
        <v>1000</v>
      </c>
      <c r="E13" s="39"/>
      <c r="F13" s="446">
        <f>4*255</f>
        <v>1020</v>
      </c>
      <c r="G13" s="446">
        <f>4*255</f>
        <v>1020</v>
      </c>
      <c r="H13" s="446">
        <f>4*255</f>
        <v>1020</v>
      </c>
      <c r="I13" s="446">
        <f t="shared" ref="I13:M13" si="3">4*275</f>
        <v>1100</v>
      </c>
      <c r="J13" s="446">
        <f t="shared" si="3"/>
        <v>1100</v>
      </c>
      <c r="K13" s="446">
        <f t="shared" si="3"/>
        <v>1100</v>
      </c>
      <c r="L13" s="446">
        <f t="shared" si="3"/>
        <v>1100</v>
      </c>
      <c r="M13" s="446">
        <f t="shared" si="3"/>
        <v>1100</v>
      </c>
      <c r="N13" s="446">
        <f>4*350</f>
        <v>1400</v>
      </c>
      <c r="O13" s="446">
        <f>4*350</f>
        <v>1400</v>
      </c>
    </row>
    <row r="14" spans="1:15" ht="17.100000000000001" customHeight="1" x14ac:dyDescent="0.3">
      <c r="A14" s="29" t="s">
        <v>84</v>
      </c>
      <c r="B14" s="46">
        <v>100</v>
      </c>
      <c r="C14" s="39">
        <v>100</v>
      </c>
      <c r="D14" s="39">
        <v>100</v>
      </c>
      <c r="E14" s="39">
        <v>100</v>
      </c>
      <c r="F14" s="446">
        <v>100</v>
      </c>
      <c r="G14" s="446">
        <v>100</v>
      </c>
      <c r="H14" s="446">
        <v>100</v>
      </c>
      <c r="I14" s="446">
        <v>100</v>
      </c>
      <c r="J14" s="446">
        <v>100</v>
      </c>
      <c r="K14" s="446">
        <v>100</v>
      </c>
      <c r="L14" s="446">
        <v>100</v>
      </c>
      <c r="M14" s="446">
        <v>100</v>
      </c>
      <c r="N14" s="446">
        <v>100</v>
      </c>
      <c r="O14" s="446">
        <v>100</v>
      </c>
    </row>
    <row r="15" spans="1:15" ht="17.100000000000001" hidden="1" customHeight="1" x14ac:dyDescent="0.3">
      <c r="A15" s="28" t="s">
        <v>346</v>
      </c>
      <c r="B15" s="46">
        <v>300</v>
      </c>
      <c r="C15" s="38">
        <v>750</v>
      </c>
      <c r="D15" s="38"/>
      <c r="E15" s="38"/>
      <c r="F15" s="447">
        <v>0</v>
      </c>
      <c r="G15" s="447">
        <v>0</v>
      </c>
      <c r="H15" s="447"/>
      <c r="I15" s="447"/>
      <c r="J15" s="447"/>
      <c r="K15" s="447"/>
      <c r="L15" s="447"/>
      <c r="M15" s="447"/>
      <c r="N15" s="447"/>
      <c r="O15" s="447"/>
    </row>
    <row r="16" spans="1:15" ht="17.100000000000001" customHeight="1" x14ac:dyDescent="0.3">
      <c r="A16" s="28" t="s">
        <v>707</v>
      </c>
      <c r="B16" s="46">
        <v>2312</v>
      </c>
      <c r="C16" s="38"/>
      <c r="D16" s="38">
        <v>1000</v>
      </c>
      <c r="E16" s="38">
        <v>1000</v>
      </c>
      <c r="F16" s="447">
        <v>0</v>
      </c>
      <c r="G16" s="447">
        <v>0</v>
      </c>
      <c r="H16" s="447">
        <f t="shared" ref="H16:M16" si="4">25*35</f>
        <v>875</v>
      </c>
      <c r="I16" s="447">
        <f t="shared" si="4"/>
        <v>875</v>
      </c>
      <c r="J16" s="447">
        <f t="shared" si="4"/>
        <v>875</v>
      </c>
      <c r="K16" s="447">
        <f t="shared" si="4"/>
        <v>875</v>
      </c>
      <c r="L16" s="447">
        <f t="shared" si="4"/>
        <v>875</v>
      </c>
      <c r="M16" s="447">
        <f t="shared" si="4"/>
        <v>875</v>
      </c>
      <c r="N16" s="447">
        <f>25*45</f>
        <v>1125</v>
      </c>
      <c r="O16" s="447">
        <f>25*45</f>
        <v>1125</v>
      </c>
    </row>
    <row r="17" spans="1:15" ht="17.100000000000001" hidden="1" customHeight="1" x14ac:dyDescent="0.3">
      <c r="A17" s="28" t="s">
        <v>347</v>
      </c>
      <c r="B17" s="46"/>
      <c r="C17" s="38"/>
      <c r="D17" s="38">
        <v>6800</v>
      </c>
      <c r="E17" s="38"/>
      <c r="F17" s="447">
        <v>2500</v>
      </c>
      <c r="G17" s="447">
        <v>0</v>
      </c>
      <c r="H17" s="447"/>
      <c r="I17" s="447"/>
      <c r="J17" s="447"/>
      <c r="K17" s="447"/>
      <c r="L17" s="447"/>
      <c r="M17" s="447"/>
      <c r="N17" s="447"/>
      <c r="O17" s="447"/>
    </row>
    <row r="18" spans="1:15" ht="17.100000000000001" customHeight="1" x14ac:dyDescent="0.3">
      <c r="A18" s="28" t="s">
        <v>728</v>
      </c>
      <c r="B18" s="77"/>
      <c r="C18" s="76"/>
      <c r="D18" s="76">
        <v>18000</v>
      </c>
      <c r="E18" s="76"/>
      <c r="F18" s="448">
        <f>25*1055</f>
        <v>26375</v>
      </c>
      <c r="G18" s="448">
        <v>1000</v>
      </c>
      <c r="H18" s="448">
        <f>12*1000</f>
        <v>12000</v>
      </c>
      <c r="I18" s="448">
        <f>25*1000</f>
        <v>25000</v>
      </c>
      <c r="J18" s="448">
        <v>0</v>
      </c>
      <c r="K18" s="448">
        <v>0</v>
      </c>
      <c r="L18" s="448">
        <v>0</v>
      </c>
      <c r="M18" s="448">
        <v>0</v>
      </c>
      <c r="N18" s="448">
        <f>1200*4</f>
        <v>4800</v>
      </c>
      <c r="O18" s="448">
        <f>1200*4</f>
        <v>4800</v>
      </c>
    </row>
    <row r="19" spans="1:15" ht="17.100000000000001" hidden="1" customHeight="1" x14ac:dyDescent="0.3">
      <c r="A19" s="98" t="s">
        <v>384</v>
      </c>
      <c r="B19" s="77"/>
      <c r="C19" s="76"/>
      <c r="D19" s="76"/>
      <c r="E19" s="76">
        <v>62650.8</v>
      </c>
      <c r="F19" s="448">
        <f>10*5245</f>
        <v>52450</v>
      </c>
      <c r="G19" s="449">
        <f>10*5606</f>
        <v>56060</v>
      </c>
      <c r="H19" s="449"/>
      <c r="I19" s="449"/>
      <c r="J19" s="449"/>
      <c r="K19" s="449"/>
      <c r="L19" s="449"/>
      <c r="M19" s="449"/>
      <c r="N19" s="449"/>
      <c r="O19" s="449"/>
    </row>
    <row r="20" spans="1:15" ht="17.100000000000001" hidden="1" customHeight="1" x14ac:dyDescent="0.3">
      <c r="A20" s="98" t="s">
        <v>385</v>
      </c>
      <c r="B20" s="77"/>
      <c r="C20" s="76"/>
      <c r="D20" s="76"/>
      <c r="E20" s="76">
        <v>20979</v>
      </c>
      <c r="F20" s="448">
        <v>10500</v>
      </c>
      <c r="G20" s="448">
        <v>0</v>
      </c>
      <c r="H20" s="448"/>
      <c r="I20" s="448"/>
      <c r="J20" s="448"/>
      <c r="K20" s="448"/>
      <c r="L20" s="448"/>
      <c r="M20" s="448"/>
      <c r="N20" s="448"/>
      <c r="O20" s="448"/>
    </row>
    <row r="21" spans="1:15" ht="17.100000000000001" hidden="1" customHeight="1" x14ac:dyDescent="0.3">
      <c r="A21" s="98" t="s">
        <v>482</v>
      </c>
      <c r="B21" s="77"/>
      <c r="C21" s="76"/>
      <c r="D21" s="76"/>
      <c r="E21" s="76"/>
      <c r="F21" s="448">
        <v>0</v>
      </c>
      <c r="G21" s="449">
        <v>3000</v>
      </c>
      <c r="H21" s="449">
        <f>1500*2</f>
        <v>3000</v>
      </c>
      <c r="I21" s="449">
        <v>0</v>
      </c>
      <c r="J21" s="449">
        <v>0</v>
      </c>
      <c r="K21" s="449">
        <v>0</v>
      </c>
      <c r="L21" s="449">
        <v>0</v>
      </c>
      <c r="M21" s="449">
        <v>0</v>
      </c>
      <c r="N21" s="449">
        <v>0</v>
      </c>
      <c r="O21" s="449">
        <v>0</v>
      </c>
    </row>
    <row r="22" spans="1:15" ht="17.100000000000001" customHeight="1" x14ac:dyDescent="0.3">
      <c r="A22" s="98" t="s">
        <v>505</v>
      </c>
      <c r="B22" s="77"/>
      <c r="C22" s="76"/>
      <c r="D22" s="76"/>
      <c r="E22" s="76"/>
      <c r="F22" s="448">
        <v>0</v>
      </c>
      <c r="G22" s="449">
        <v>0</v>
      </c>
      <c r="H22" s="449">
        <f>7000+2000</f>
        <v>9000</v>
      </c>
      <c r="I22" s="449">
        <v>0</v>
      </c>
      <c r="J22" s="449">
        <v>11000</v>
      </c>
      <c r="K22" s="449">
        <v>0</v>
      </c>
      <c r="L22" s="449">
        <v>0</v>
      </c>
      <c r="M22" s="449">
        <v>25000</v>
      </c>
      <c r="N22" s="449">
        <v>0</v>
      </c>
      <c r="O22" s="449">
        <v>25000</v>
      </c>
    </row>
    <row r="23" spans="1:15" ht="17.100000000000001" hidden="1" customHeight="1" x14ac:dyDescent="0.3">
      <c r="A23" s="98" t="s">
        <v>606</v>
      </c>
      <c r="B23" s="77"/>
      <c r="C23" s="76"/>
      <c r="D23" s="76"/>
      <c r="E23" s="76"/>
      <c r="F23" s="448"/>
      <c r="G23" s="449"/>
      <c r="H23" s="449"/>
      <c r="I23" s="449">
        <v>0</v>
      </c>
      <c r="J23" s="449">
        <f>140*6</f>
        <v>840</v>
      </c>
      <c r="K23" s="449">
        <v>0</v>
      </c>
      <c r="L23" s="449">
        <v>0</v>
      </c>
      <c r="M23" s="449">
        <v>0</v>
      </c>
      <c r="N23" s="449">
        <v>0</v>
      </c>
      <c r="O23" s="449">
        <v>0</v>
      </c>
    </row>
    <row r="24" spans="1:15" ht="17.100000000000001" customHeight="1" thickBot="1" x14ac:dyDescent="0.35">
      <c r="A24" s="340"/>
      <c r="B24" s="46">
        <v>-200</v>
      </c>
      <c r="C24" s="38"/>
      <c r="D24" s="38"/>
      <c r="E24" s="38"/>
      <c r="F24" s="447"/>
      <c r="G24" s="450"/>
      <c r="H24" s="450"/>
      <c r="I24" s="450"/>
      <c r="J24" s="450"/>
      <c r="K24" s="450"/>
      <c r="L24" s="450"/>
      <c r="M24" s="450"/>
      <c r="N24" s="450"/>
      <c r="O24" s="450"/>
    </row>
    <row r="25" spans="1:15" ht="18.75" customHeight="1" thickTop="1" x14ac:dyDescent="0.3">
      <c r="A25" s="60" t="s">
        <v>95</v>
      </c>
      <c r="B25" s="34">
        <f>SUM(B4:B21)</f>
        <v>10192</v>
      </c>
      <c r="C25" s="99">
        <f>SUM(C4:C21)</f>
        <v>11900</v>
      </c>
      <c r="D25" s="99">
        <f>SUM(D4:D21)</f>
        <v>38400</v>
      </c>
      <c r="E25" s="99">
        <f t="shared" ref="E25:J25" si="5">SUM(E5:E24)</f>
        <v>94229.8</v>
      </c>
      <c r="F25" s="443">
        <f t="shared" si="5"/>
        <v>101710</v>
      </c>
      <c r="G25" s="444">
        <f t="shared" si="5"/>
        <v>70177</v>
      </c>
      <c r="H25" s="444">
        <f t="shared" si="5"/>
        <v>34992</v>
      </c>
      <c r="I25" s="444">
        <f t="shared" si="5"/>
        <v>36033</v>
      </c>
      <c r="J25" s="444">
        <f t="shared" si="5"/>
        <v>22873</v>
      </c>
      <c r="K25" s="444">
        <f>SUM(K5:K24)</f>
        <v>11233</v>
      </c>
      <c r="L25" s="444">
        <f>SUM(L5:L24)</f>
        <v>11233</v>
      </c>
      <c r="M25" s="444">
        <f>SUM(M5:M24)</f>
        <v>36233</v>
      </c>
      <c r="N25" s="444">
        <f>SUM(N5:N24)</f>
        <v>17979</v>
      </c>
      <c r="O25" s="444">
        <f>SUM(O5:O24)</f>
        <v>42979</v>
      </c>
    </row>
    <row r="26" spans="1:15" ht="18.75" customHeight="1" x14ac:dyDescent="0.3">
      <c r="A26" s="11"/>
    </row>
    <row r="27" spans="1:15" ht="18.75" customHeight="1" x14ac:dyDescent="0.3">
      <c r="A27" s="11"/>
    </row>
    <row r="28" spans="1:15" ht="18.75" customHeight="1" x14ac:dyDescent="0.3">
      <c r="A28" s="11"/>
    </row>
    <row r="29" spans="1:15" ht="18.75" customHeight="1" x14ac:dyDescent="0.3">
      <c r="A29" s="11"/>
    </row>
    <row r="30" spans="1:15" ht="18.75" customHeight="1" x14ac:dyDescent="0.3">
      <c r="A30" s="11"/>
    </row>
    <row r="31" spans="1:15" ht="18.75" customHeight="1" x14ac:dyDescent="0.3">
      <c r="A31" s="11"/>
    </row>
    <row r="32" spans="1:15" ht="18.75" customHeight="1" x14ac:dyDescent="0.3">
      <c r="A32" s="11"/>
    </row>
    <row r="33" spans="1:1" ht="18.75" customHeight="1" x14ac:dyDescent="0.3">
      <c r="A33" s="11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8"/>
  <sheetViews>
    <sheetView workbookViewId="0"/>
  </sheetViews>
  <sheetFormatPr defaultColWidth="9.140625" defaultRowHeight="16.5" x14ac:dyDescent="0.3"/>
  <cols>
    <col min="1" max="1" width="38.5703125" style="18" bestFit="1" customWidth="1"/>
    <col min="2" max="4" width="11.7109375" style="18" hidden="1" customWidth="1"/>
    <col min="5" max="8" width="12.5703125" style="18" hidden="1" customWidth="1"/>
    <col min="9" max="9" width="0" style="18" hidden="1" customWidth="1"/>
    <col min="10" max="12" width="9.5703125" style="18" hidden="1" customWidth="1"/>
    <col min="13" max="15" width="9.5703125" style="18" bestFit="1" customWidth="1"/>
    <col min="16" max="16384" width="9.140625" style="18"/>
  </cols>
  <sheetData>
    <row r="1" spans="1:15" x14ac:dyDescent="0.3">
      <c r="A1" s="351" t="s">
        <v>391</v>
      </c>
      <c r="B1" s="154"/>
      <c r="C1" s="154"/>
      <c r="D1" s="154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x14ac:dyDescent="0.3">
      <c r="A2" s="9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3">
      <c r="A3" s="27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x14ac:dyDescent="0.3">
      <c r="A4" s="42"/>
      <c r="B4" s="39"/>
      <c r="C4" s="42"/>
      <c r="D4" s="42"/>
      <c r="E4" s="42"/>
      <c r="F4" s="395"/>
      <c r="G4" s="395"/>
      <c r="H4" s="395"/>
      <c r="I4" s="395"/>
      <c r="J4" s="395"/>
      <c r="K4" s="395"/>
      <c r="L4" s="395"/>
      <c r="M4" s="395"/>
      <c r="N4" s="395"/>
      <c r="O4" s="395"/>
    </row>
    <row r="5" spans="1:15" x14ac:dyDescent="0.3">
      <c r="A5" s="29" t="s">
        <v>86</v>
      </c>
      <c r="B5" s="39">
        <v>1800</v>
      </c>
      <c r="C5" s="26">
        <v>2100</v>
      </c>
      <c r="D5" s="26">
        <v>2100</v>
      </c>
      <c r="E5" s="26">
        <v>2100</v>
      </c>
      <c r="F5" s="451">
        <v>2200</v>
      </c>
      <c r="G5" s="451">
        <v>2400</v>
      </c>
      <c r="H5" s="451">
        <v>2400</v>
      </c>
      <c r="I5" s="451">
        <v>2400</v>
      </c>
      <c r="J5" s="451">
        <v>2400</v>
      </c>
      <c r="K5" s="451">
        <v>2400</v>
      </c>
      <c r="L5" s="451">
        <v>2400</v>
      </c>
      <c r="M5" s="451">
        <v>2400</v>
      </c>
      <c r="N5" s="451">
        <v>2800</v>
      </c>
      <c r="O5" s="451">
        <v>2800</v>
      </c>
    </row>
    <row r="6" spans="1:15" x14ac:dyDescent="0.3">
      <c r="A6" s="29" t="s">
        <v>239</v>
      </c>
      <c r="B6" s="39">
        <v>16000</v>
      </c>
      <c r="C6" s="39">
        <v>17000</v>
      </c>
      <c r="D6" s="39">
        <v>30000</v>
      </c>
      <c r="E6" s="39">
        <v>30000</v>
      </c>
      <c r="F6" s="446">
        <v>30000</v>
      </c>
      <c r="G6" s="446">
        <v>31000</v>
      </c>
      <c r="H6" s="446">
        <v>31000</v>
      </c>
      <c r="I6" s="446">
        <v>30000</v>
      </c>
      <c r="J6" s="446">
        <v>30000</v>
      </c>
      <c r="K6" s="446">
        <v>30000</v>
      </c>
      <c r="L6" s="446">
        <v>20000</v>
      </c>
      <c r="M6" s="446">
        <v>20000</v>
      </c>
      <c r="N6" s="446">
        <v>25000</v>
      </c>
      <c r="O6" s="446">
        <v>25000</v>
      </c>
    </row>
    <row r="7" spans="1:15" x14ac:dyDescent="0.3">
      <c r="A7" s="29" t="s">
        <v>85</v>
      </c>
      <c r="B7" s="39">
        <v>1000</v>
      </c>
      <c r="C7" s="26">
        <v>1200</v>
      </c>
      <c r="D7" s="26">
        <v>1350</v>
      </c>
      <c r="E7" s="26">
        <v>1350</v>
      </c>
      <c r="F7" s="451">
        <v>1500</v>
      </c>
      <c r="G7" s="451">
        <v>1600</v>
      </c>
      <c r="H7" s="451">
        <v>1600</v>
      </c>
      <c r="I7" s="451">
        <v>1800</v>
      </c>
      <c r="J7" s="451">
        <v>1800</v>
      </c>
      <c r="K7" s="451">
        <v>1800</v>
      </c>
      <c r="L7" s="451">
        <v>1800</v>
      </c>
      <c r="M7" s="451">
        <v>1800</v>
      </c>
      <c r="N7" s="451">
        <v>2000</v>
      </c>
      <c r="O7" s="451">
        <v>2000</v>
      </c>
    </row>
    <row r="8" spans="1:15" x14ac:dyDescent="0.3">
      <c r="A8" s="29" t="s">
        <v>155</v>
      </c>
      <c r="B8" s="39">
        <v>1000</v>
      </c>
      <c r="C8" s="39">
        <v>500</v>
      </c>
      <c r="D8" s="39">
        <v>600</v>
      </c>
      <c r="E8" s="39">
        <v>800</v>
      </c>
      <c r="F8" s="446">
        <v>800</v>
      </c>
      <c r="G8" s="446">
        <v>1200</v>
      </c>
      <c r="H8" s="446">
        <v>1200</v>
      </c>
      <c r="I8" s="446">
        <v>1200</v>
      </c>
      <c r="J8" s="446">
        <v>1200</v>
      </c>
      <c r="K8" s="446">
        <v>1200</v>
      </c>
      <c r="L8" s="446">
        <v>1200</v>
      </c>
      <c r="M8" s="446">
        <v>1200</v>
      </c>
      <c r="N8" s="446">
        <v>1200</v>
      </c>
      <c r="O8" s="446">
        <v>1200</v>
      </c>
    </row>
    <row r="9" spans="1:15" x14ac:dyDescent="0.3">
      <c r="A9" s="29" t="s">
        <v>238</v>
      </c>
      <c r="B9" s="39">
        <v>19000</v>
      </c>
      <c r="C9" s="39">
        <v>20000</v>
      </c>
      <c r="D9" s="39">
        <v>25000</v>
      </c>
      <c r="E9" s="39">
        <v>25000</v>
      </c>
      <c r="F9" s="446">
        <v>25000</v>
      </c>
      <c r="G9" s="446">
        <v>27500</v>
      </c>
      <c r="H9" s="446">
        <v>27500</v>
      </c>
      <c r="I9" s="446">
        <v>28000</v>
      </c>
      <c r="J9" s="446">
        <v>28000</v>
      </c>
      <c r="K9" s="446">
        <v>28000</v>
      </c>
      <c r="L9" s="446">
        <v>28000</v>
      </c>
      <c r="M9" s="446">
        <v>28000</v>
      </c>
      <c r="N9" s="446">
        <v>30000</v>
      </c>
      <c r="O9" s="446">
        <v>30000</v>
      </c>
    </row>
    <row r="10" spans="1:15" x14ac:dyDescent="0.3">
      <c r="A10" s="29" t="s">
        <v>105</v>
      </c>
      <c r="B10" s="39">
        <v>3500</v>
      </c>
      <c r="C10" s="39">
        <v>2000</v>
      </c>
      <c r="D10" s="39">
        <v>3000</v>
      </c>
      <c r="E10" s="39">
        <v>3000</v>
      </c>
      <c r="F10" s="446">
        <v>3500</v>
      </c>
      <c r="G10" s="446">
        <v>3500</v>
      </c>
      <c r="H10" s="446">
        <v>3500</v>
      </c>
      <c r="I10" s="446">
        <v>3500</v>
      </c>
      <c r="J10" s="446">
        <v>3500</v>
      </c>
      <c r="K10" s="446">
        <v>3500</v>
      </c>
      <c r="L10" s="446">
        <v>3500</v>
      </c>
      <c r="M10" s="446">
        <v>3500</v>
      </c>
      <c r="N10" s="446">
        <v>3800</v>
      </c>
      <c r="O10" s="446">
        <v>3800</v>
      </c>
    </row>
    <row r="11" spans="1:15" x14ac:dyDescent="0.3">
      <c r="A11" s="29" t="s">
        <v>68</v>
      </c>
      <c r="B11" s="26">
        <v>1000</v>
      </c>
      <c r="C11" s="26">
        <v>1200</v>
      </c>
      <c r="D11" s="26">
        <v>1700</v>
      </c>
      <c r="E11" s="26">
        <v>1700</v>
      </c>
      <c r="F11" s="451">
        <v>2500</v>
      </c>
      <c r="G11" s="451">
        <v>2500</v>
      </c>
      <c r="H11" s="451">
        <v>4000</v>
      </c>
      <c r="I11" s="451">
        <v>5000</v>
      </c>
      <c r="J11" s="451">
        <v>5000</v>
      </c>
      <c r="K11" s="451">
        <v>5500</v>
      </c>
      <c r="L11" s="451">
        <v>5500</v>
      </c>
      <c r="M11" s="451">
        <v>5500</v>
      </c>
      <c r="N11" s="451">
        <v>5800</v>
      </c>
      <c r="O11" s="451">
        <v>5800</v>
      </c>
    </row>
    <row r="12" spans="1:15" x14ac:dyDescent="0.3">
      <c r="A12" s="29" t="s">
        <v>386</v>
      </c>
      <c r="B12" s="26">
        <v>2500</v>
      </c>
      <c r="C12" s="39">
        <v>2000</v>
      </c>
      <c r="D12" s="39">
        <v>2000</v>
      </c>
      <c r="E12" s="39">
        <v>2000</v>
      </c>
      <c r="F12" s="446">
        <v>2000</v>
      </c>
      <c r="G12" s="446">
        <v>2500</v>
      </c>
      <c r="H12" s="446">
        <v>2500</v>
      </c>
      <c r="I12" s="446">
        <v>2500</v>
      </c>
      <c r="J12" s="446">
        <v>2500</v>
      </c>
      <c r="K12" s="446">
        <v>3000</v>
      </c>
      <c r="L12" s="446">
        <v>3000</v>
      </c>
      <c r="M12" s="446">
        <v>3000</v>
      </c>
      <c r="N12" s="446">
        <v>3600</v>
      </c>
      <c r="O12" s="446">
        <v>3600</v>
      </c>
    </row>
    <row r="13" spans="1:15" x14ac:dyDescent="0.3">
      <c r="A13" s="29" t="s">
        <v>154</v>
      </c>
      <c r="B13" s="39">
        <v>9000</v>
      </c>
      <c r="C13" s="39">
        <v>12000</v>
      </c>
      <c r="D13" s="39">
        <v>15000</v>
      </c>
      <c r="E13" s="39">
        <v>16000</v>
      </c>
      <c r="F13" s="446">
        <v>12000</v>
      </c>
      <c r="G13" s="446">
        <v>13000</v>
      </c>
      <c r="H13" s="446">
        <v>13000</v>
      </c>
      <c r="I13" s="446">
        <v>14000</v>
      </c>
      <c r="J13" s="446">
        <f>14000+(14*500)</f>
        <v>21000</v>
      </c>
      <c r="K13" s="446">
        <v>22000</v>
      </c>
      <c r="L13" s="446">
        <v>22000</v>
      </c>
      <c r="M13" s="446">
        <v>22000</v>
      </c>
      <c r="N13" s="446">
        <v>28000</v>
      </c>
      <c r="O13" s="446">
        <v>28000</v>
      </c>
    </row>
    <row r="14" spans="1:15" x14ac:dyDescent="0.3">
      <c r="A14" s="29" t="s">
        <v>153</v>
      </c>
      <c r="B14" s="26">
        <v>3000</v>
      </c>
      <c r="C14" s="39">
        <v>2500</v>
      </c>
      <c r="D14" s="39">
        <v>3000</v>
      </c>
      <c r="E14" s="39">
        <v>3000</v>
      </c>
      <c r="F14" s="446">
        <v>3000</v>
      </c>
      <c r="G14" s="446">
        <v>3000</v>
      </c>
      <c r="H14" s="446">
        <v>3000</v>
      </c>
      <c r="I14" s="446">
        <v>3000</v>
      </c>
      <c r="J14" s="446">
        <v>3000</v>
      </c>
      <c r="K14" s="446">
        <v>3000</v>
      </c>
      <c r="L14" s="446">
        <v>3000</v>
      </c>
      <c r="M14" s="446">
        <v>3000</v>
      </c>
      <c r="N14" s="446">
        <v>3200</v>
      </c>
      <c r="O14" s="446">
        <v>3200</v>
      </c>
    </row>
    <row r="15" spans="1:15" x14ac:dyDescent="0.3">
      <c r="A15" s="29" t="s">
        <v>775</v>
      </c>
      <c r="B15" s="26"/>
      <c r="C15" s="39"/>
      <c r="D15" s="39"/>
      <c r="E15" s="39"/>
      <c r="F15" s="446"/>
      <c r="G15" s="446"/>
      <c r="H15" s="446"/>
      <c r="I15" s="446"/>
      <c r="J15" s="446"/>
      <c r="K15" s="446"/>
      <c r="L15" s="446"/>
      <c r="M15" s="446"/>
      <c r="N15" s="446"/>
      <c r="O15" s="446">
        <f>275*2</f>
        <v>550</v>
      </c>
    </row>
    <row r="16" spans="1:15" x14ac:dyDescent="0.3">
      <c r="A16" s="29" t="s">
        <v>441</v>
      </c>
      <c r="B16" s="26">
        <v>350</v>
      </c>
      <c r="C16" s="39">
        <v>250</v>
      </c>
      <c r="D16" s="39">
        <v>300</v>
      </c>
      <c r="E16" s="39">
        <v>300</v>
      </c>
      <c r="F16" s="446">
        <v>400</v>
      </c>
      <c r="G16" s="446">
        <v>400</v>
      </c>
      <c r="H16" s="446">
        <v>400</v>
      </c>
      <c r="I16" s="446">
        <v>400</v>
      </c>
      <c r="J16" s="446">
        <v>400</v>
      </c>
      <c r="K16" s="446">
        <v>400</v>
      </c>
      <c r="L16" s="446">
        <v>400</v>
      </c>
      <c r="M16" s="446">
        <v>400</v>
      </c>
      <c r="N16" s="446">
        <v>500</v>
      </c>
      <c r="O16" s="446">
        <v>500</v>
      </c>
    </row>
    <row r="17" spans="1:15" hidden="1" x14ac:dyDescent="0.3">
      <c r="A17" s="315" t="s">
        <v>442</v>
      </c>
      <c r="B17" s="77"/>
      <c r="C17" s="303"/>
      <c r="D17" s="303"/>
      <c r="E17" s="303">
        <v>3000</v>
      </c>
      <c r="F17" s="452">
        <v>4800</v>
      </c>
      <c r="G17" s="452">
        <v>0</v>
      </c>
      <c r="H17" s="452">
        <v>0</v>
      </c>
      <c r="I17" s="452">
        <v>0</v>
      </c>
      <c r="J17" s="452">
        <v>0</v>
      </c>
      <c r="K17" s="452">
        <v>0</v>
      </c>
      <c r="L17" s="452">
        <v>0</v>
      </c>
      <c r="M17" s="452">
        <v>0</v>
      </c>
      <c r="N17" s="452">
        <v>0</v>
      </c>
      <c r="O17" s="452">
        <v>0</v>
      </c>
    </row>
    <row r="18" spans="1:15" hidden="1" x14ac:dyDescent="0.3">
      <c r="A18" s="315" t="s">
        <v>387</v>
      </c>
      <c r="B18" s="77"/>
      <c r="C18" s="303"/>
      <c r="D18" s="303"/>
      <c r="E18" s="303">
        <v>2500</v>
      </c>
      <c r="F18" s="452">
        <v>0</v>
      </c>
      <c r="G18" s="452">
        <v>0</v>
      </c>
      <c r="H18" s="452">
        <v>0</v>
      </c>
      <c r="I18" s="452">
        <v>0</v>
      </c>
      <c r="J18" s="452">
        <v>0</v>
      </c>
      <c r="K18" s="452">
        <v>0</v>
      </c>
      <c r="L18" s="452">
        <v>0</v>
      </c>
      <c r="M18" s="452">
        <v>0</v>
      </c>
      <c r="N18" s="452">
        <v>0</v>
      </c>
      <c r="O18" s="452">
        <v>0</v>
      </c>
    </row>
    <row r="19" spans="1:15" hidden="1" x14ac:dyDescent="0.3">
      <c r="A19" s="47" t="s">
        <v>388</v>
      </c>
      <c r="B19" s="77"/>
      <c r="C19" s="303"/>
      <c r="D19" s="303"/>
      <c r="E19" s="303">
        <v>2000</v>
      </c>
      <c r="F19" s="452">
        <v>0</v>
      </c>
      <c r="G19" s="452">
        <v>0</v>
      </c>
      <c r="H19" s="452">
        <v>0</v>
      </c>
      <c r="I19" s="452">
        <v>0</v>
      </c>
      <c r="J19" s="452">
        <v>0</v>
      </c>
      <c r="K19" s="452">
        <v>0</v>
      </c>
      <c r="L19" s="452">
        <v>0</v>
      </c>
      <c r="M19" s="452">
        <v>0</v>
      </c>
      <c r="N19" s="452">
        <v>0</v>
      </c>
      <c r="O19" s="452">
        <v>0</v>
      </c>
    </row>
    <row r="20" spans="1:15" x14ac:dyDescent="0.3">
      <c r="A20" s="47" t="s">
        <v>437</v>
      </c>
      <c r="B20" s="77"/>
      <c r="C20" s="303">
        <v>3000</v>
      </c>
      <c r="D20" s="303">
        <v>3000</v>
      </c>
      <c r="E20" s="303">
        <v>3830</v>
      </c>
      <c r="F20" s="452">
        <v>4400</v>
      </c>
      <c r="G20" s="452">
        <v>4800</v>
      </c>
      <c r="H20" s="452">
        <v>5000</v>
      </c>
      <c r="I20" s="452">
        <v>5000</v>
      </c>
      <c r="J20" s="452">
        <v>5000</v>
      </c>
      <c r="K20" s="452">
        <v>5000</v>
      </c>
      <c r="L20" s="452">
        <v>5000</v>
      </c>
      <c r="M20" s="452">
        <v>5500</v>
      </c>
      <c r="N20" s="452">
        <v>6500</v>
      </c>
      <c r="O20" s="452">
        <v>6500</v>
      </c>
    </row>
    <row r="21" spans="1:15" hidden="1" x14ac:dyDescent="0.3">
      <c r="A21" s="47" t="s">
        <v>634</v>
      </c>
      <c r="B21" s="77"/>
      <c r="C21" s="303"/>
      <c r="D21" s="303"/>
      <c r="E21" s="303"/>
      <c r="F21" s="452"/>
      <c r="G21" s="452"/>
      <c r="H21" s="452"/>
      <c r="I21" s="452">
        <v>0</v>
      </c>
      <c r="J21" s="452">
        <v>0</v>
      </c>
      <c r="K21" s="452">
        <v>2250</v>
      </c>
      <c r="L21" s="452">
        <v>0</v>
      </c>
      <c r="M21" s="452">
        <v>0</v>
      </c>
      <c r="N21" s="452">
        <v>0</v>
      </c>
      <c r="O21" s="452">
        <v>0</v>
      </c>
    </row>
    <row r="22" spans="1:15" hidden="1" x14ac:dyDescent="0.3">
      <c r="A22" s="47" t="s">
        <v>484</v>
      </c>
      <c r="B22" s="77"/>
      <c r="C22" s="303"/>
      <c r="D22" s="303"/>
      <c r="E22" s="303"/>
      <c r="F22" s="452">
        <v>0</v>
      </c>
      <c r="G22" s="452">
        <v>2000</v>
      </c>
      <c r="H22" s="452">
        <v>2000</v>
      </c>
      <c r="I22" s="452">
        <v>2000</v>
      </c>
      <c r="J22" s="452">
        <v>0</v>
      </c>
      <c r="K22" s="452">
        <v>0</v>
      </c>
      <c r="L22" s="452">
        <v>0</v>
      </c>
      <c r="M22" s="452">
        <v>0</v>
      </c>
      <c r="N22" s="452">
        <v>0</v>
      </c>
      <c r="O22" s="452">
        <v>0</v>
      </c>
    </row>
    <row r="23" spans="1:15" hidden="1" x14ac:dyDescent="0.3">
      <c r="A23" s="37" t="s">
        <v>485</v>
      </c>
      <c r="B23" s="40"/>
      <c r="C23" s="40"/>
      <c r="D23" s="40"/>
      <c r="E23" s="40"/>
      <c r="F23" s="441">
        <v>0</v>
      </c>
      <c r="G23" s="442">
        <v>2800</v>
      </c>
      <c r="H23" s="442"/>
      <c r="I23" s="442"/>
      <c r="J23" s="442"/>
      <c r="K23" s="442"/>
      <c r="L23" s="442"/>
      <c r="M23" s="442"/>
      <c r="N23" s="442"/>
      <c r="O23" s="442"/>
    </row>
    <row r="24" spans="1:15" x14ac:dyDescent="0.3">
      <c r="A24" s="37" t="s">
        <v>668</v>
      </c>
      <c r="B24" s="40"/>
      <c r="C24" s="40"/>
      <c r="D24" s="40"/>
      <c r="E24" s="40"/>
      <c r="F24" s="441"/>
      <c r="G24" s="442"/>
      <c r="H24" s="442"/>
      <c r="I24" s="442"/>
      <c r="J24" s="442"/>
      <c r="K24" s="442"/>
      <c r="L24" s="442">
        <f>12000*3</f>
        <v>36000</v>
      </c>
      <c r="M24" s="442">
        <f>12000*3</f>
        <v>36000</v>
      </c>
      <c r="N24" s="442">
        <v>0</v>
      </c>
      <c r="O24" s="442">
        <v>0</v>
      </c>
    </row>
    <row r="25" spans="1:15" x14ac:dyDescent="0.3">
      <c r="A25" s="37" t="s">
        <v>770</v>
      </c>
      <c r="B25" s="40"/>
      <c r="C25" s="40"/>
      <c r="D25" s="40"/>
      <c r="E25" s="40"/>
      <c r="F25" s="441"/>
      <c r="G25" s="442"/>
      <c r="H25" s="442"/>
      <c r="I25" s="442"/>
      <c r="J25" s="442"/>
      <c r="K25" s="442"/>
      <c r="L25" s="442"/>
      <c r="M25" s="442"/>
      <c r="N25" s="442"/>
      <c r="O25" s="442">
        <v>18000</v>
      </c>
    </row>
    <row r="26" spans="1:15" x14ac:dyDescent="0.3">
      <c r="A26" s="37" t="s">
        <v>771</v>
      </c>
      <c r="B26" s="40"/>
      <c r="C26" s="40"/>
      <c r="D26" s="40"/>
      <c r="E26" s="40"/>
      <c r="F26" s="441"/>
      <c r="G26" s="442"/>
      <c r="H26" s="442"/>
      <c r="I26" s="442"/>
      <c r="J26" s="442"/>
      <c r="K26" s="442"/>
      <c r="L26" s="442"/>
      <c r="M26" s="442"/>
      <c r="N26" s="442"/>
      <c r="O26" s="442">
        <v>25000</v>
      </c>
    </row>
    <row r="27" spans="1:15" ht="17.25" thickBot="1" x14ac:dyDescent="0.35">
      <c r="A27" s="37"/>
      <c r="B27" s="40">
        <v>-15000</v>
      </c>
      <c r="C27" s="40"/>
      <c r="D27" s="40"/>
      <c r="E27" s="40"/>
      <c r="F27" s="441"/>
      <c r="G27" s="442"/>
      <c r="H27" s="442"/>
      <c r="I27" s="442"/>
      <c r="J27" s="442"/>
      <c r="K27" s="442"/>
      <c r="L27" s="442"/>
      <c r="M27" s="442"/>
      <c r="N27" s="442"/>
      <c r="O27" s="442"/>
    </row>
    <row r="28" spans="1:15" ht="17.25" thickTop="1" x14ac:dyDescent="0.3">
      <c r="A28" s="158" t="s">
        <v>95</v>
      </c>
      <c r="B28" s="99">
        <f t="shared" ref="B28:J28" si="0">SUM(B4:B27)</f>
        <v>43150</v>
      </c>
      <c r="C28" s="99">
        <f t="shared" si="0"/>
        <v>63750</v>
      </c>
      <c r="D28" s="99">
        <f t="shared" si="0"/>
        <v>87050</v>
      </c>
      <c r="E28" s="99">
        <f t="shared" si="0"/>
        <v>96580</v>
      </c>
      <c r="F28" s="443">
        <f t="shared" si="0"/>
        <v>92100</v>
      </c>
      <c r="G28" s="444">
        <f t="shared" si="0"/>
        <v>98200</v>
      </c>
      <c r="H28" s="444">
        <f t="shared" si="0"/>
        <v>97100</v>
      </c>
      <c r="I28" s="444">
        <f t="shared" si="0"/>
        <v>98800</v>
      </c>
      <c r="J28" s="444">
        <f t="shared" si="0"/>
        <v>103800</v>
      </c>
      <c r="K28" s="444">
        <f>SUM(K4:K27)</f>
        <v>108050</v>
      </c>
      <c r="L28" s="444">
        <f>SUM(L4:L27)</f>
        <v>131800</v>
      </c>
      <c r="M28" s="444">
        <f>SUM(M4:M27)</f>
        <v>132300</v>
      </c>
      <c r="N28" s="444">
        <f>SUM(N4:N27)</f>
        <v>112400</v>
      </c>
      <c r="O28" s="444">
        <f>SUM(O4:O27)</f>
        <v>155950</v>
      </c>
    </row>
  </sheetData>
  <sortState xmlns:xlrd2="http://schemas.microsoft.com/office/spreadsheetml/2017/richdata2" ref="A7:E17">
    <sortCondition ref="A7:A17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5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8" bestFit="1" customWidth="1"/>
    <col min="2" max="4" width="11.7109375" style="18" hidden="1" customWidth="1"/>
    <col min="5" max="8" width="12.5703125" style="18" hidden="1" customWidth="1"/>
    <col min="9" max="11" width="0" style="18" hidden="1" customWidth="1"/>
    <col min="12" max="12" width="9.5703125" style="18" hidden="1" customWidth="1"/>
    <col min="13" max="14" width="9.5703125" style="18" bestFit="1" customWidth="1"/>
    <col min="15" max="16384" width="9.140625" style="18"/>
  </cols>
  <sheetData>
    <row r="1" spans="1:15" ht="18" customHeight="1" x14ac:dyDescent="0.3">
      <c r="A1" s="351" t="s">
        <v>176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ht="18" customHeight="1" x14ac:dyDescent="0.3">
      <c r="A2" s="92" t="s">
        <v>97</v>
      </c>
      <c r="B2" s="69">
        <v>2010</v>
      </c>
      <c r="C2" s="69">
        <v>2013</v>
      </c>
      <c r="D2" s="69">
        <v>2014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69">
        <v>2020</v>
      </c>
      <c r="K2" s="69">
        <v>2021</v>
      </c>
      <c r="L2" s="69">
        <v>2022</v>
      </c>
      <c r="M2" s="69">
        <v>2023</v>
      </c>
      <c r="N2" s="69">
        <v>2024</v>
      </c>
      <c r="O2" s="69">
        <v>2025</v>
      </c>
    </row>
    <row r="3" spans="1:15" ht="18" customHeight="1" x14ac:dyDescent="0.3">
      <c r="A3" s="92"/>
      <c r="B3" s="70"/>
      <c r="C3" s="70"/>
      <c r="D3" s="70"/>
      <c r="E3" s="70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8" customHeight="1" x14ac:dyDescent="0.3">
      <c r="A4" s="28" t="s">
        <v>120</v>
      </c>
      <c r="B4" s="39">
        <v>400</v>
      </c>
      <c r="C4" s="39">
        <v>350</v>
      </c>
      <c r="D4" s="39">
        <v>400</v>
      </c>
      <c r="E4" s="39">
        <v>400</v>
      </c>
      <c r="F4" s="446">
        <v>400</v>
      </c>
      <c r="G4" s="446">
        <v>400</v>
      </c>
      <c r="H4" s="446">
        <v>400</v>
      </c>
      <c r="I4" s="446">
        <v>600</v>
      </c>
      <c r="J4" s="446">
        <v>600</v>
      </c>
      <c r="K4" s="446">
        <v>600</v>
      </c>
      <c r="L4" s="446">
        <v>600</v>
      </c>
      <c r="M4" s="446">
        <v>600</v>
      </c>
      <c r="N4" s="446">
        <v>800</v>
      </c>
      <c r="O4" s="446">
        <v>800</v>
      </c>
    </row>
    <row r="5" spans="1:15" ht="18" customHeight="1" x14ac:dyDescent="0.3">
      <c r="A5" s="28" t="s">
        <v>161</v>
      </c>
      <c r="B5" s="39">
        <v>500</v>
      </c>
      <c r="C5" s="39">
        <v>250</v>
      </c>
      <c r="D5" s="39">
        <v>250</v>
      </c>
      <c r="E5" s="39">
        <v>250</v>
      </c>
      <c r="F5" s="446">
        <v>2000</v>
      </c>
      <c r="G5" s="446">
        <v>2000</v>
      </c>
      <c r="H5" s="446">
        <v>2000</v>
      </c>
      <c r="I5" s="446">
        <v>2000</v>
      </c>
      <c r="J5" s="446">
        <v>2000</v>
      </c>
      <c r="K5" s="446">
        <v>2000</v>
      </c>
      <c r="L5" s="446">
        <v>2000</v>
      </c>
      <c r="M5" s="446">
        <v>2000</v>
      </c>
      <c r="N5" s="446">
        <v>2200</v>
      </c>
      <c r="O5" s="446">
        <v>2200</v>
      </c>
    </row>
    <row r="6" spans="1:15" ht="18" customHeight="1" x14ac:dyDescent="0.3">
      <c r="A6" s="28" t="s">
        <v>547</v>
      </c>
      <c r="B6" s="39">
        <v>2500</v>
      </c>
      <c r="C6" s="39">
        <v>1400</v>
      </c>
      <c r="D6" s="39">
        <v>1400</v>
      </c>
      <c r="E6" s="39">
        <v>1500</v>
      </c>
      <c r="F6" s="446">
        <v>1500</v>
      </c>
      <c r="G6" s="446">
        <v>1700</v>
      </c>
      <c r="H6" s="446">
        <v>1700</v>
      </c>
      <c r="I6" s="446">
        <v>1800</v>
      </c>
      <c r="J6" s="446">
        <v>1800</v>
      </c>
      <c r="K6" s="446">
        <v>1800</v>
      </c>
      <c r="L6" s="446">
        <v>1800</v>
      </c>
      <c r="M6" s="446">
        <v>1800</v>
      </c>
      <c r="N6" s="446">
        <v>2600</v>
      </c>
      <c r="O6" s="446">
        <v>2600</v>
      </c>
    </row>
    <row r="7" spans="1:15" ht="18" hidden="1" customHeight="1" x14ac:dyDescent="0.3">
      <c r="A7" s="28" t="s">
        <v>1</v>
      </c>
      <c r="B7" s="26">
        <v>750</v>
      </c>
      <c r="C7" s="39">
        <v>850</v>
      </c>
      <c r="D7" s="39">
        <v>850</v>
      </c>
      <c r="E7" s="39">
        <v>850</v>
      </c>
      <c r="F7" s="446">
        <v>0</v>
      </c>
      <c r="G7" s="446">
        <v>0</v>
      </c>
      <c r="H7" s="446">
        <v>0</v>
      </c>
      <c r="I7" s="446">
        <v>0</v>
      </c>
      <c r="J7" s="446">
        <v>0</v>
      </c>
      <c r="K7" s="446">
        <v>0</v>
      </c>
      <c r="L7" s="446">
        <v>0</v>
      </c>
      <c r="M7" s="446">
        <v>0</v>
      </c>
      <c r="N7" s="446">
        <v>0</v>
      </c>
      <c r="O7" s="446">
        <v>0</v>
      </c>
    </row>
    <row r="8" spans="1:15" ht="18" customHeight="1" x14ac:dyDescent="0.3">
      <c r="A8" s="29" t="s">
        <v>506</v>
      </c>
      <c r="B8" s="26">
        <v>600</v>
      </c>
      <c r="C8" s="38">
        <v>300</v>
      </c>
      <c r="D8" s="38">
        <v>300</v>
      </c>
      <c r="E8" s="38">
        <v>300</v>
      </c>
      <c r="F8" s="447">
        <v>400</v>
      </c>
      <c r="G8" s="447">
        <v>500</v>
      </c>
      <c r="H8" s="447">
        <v>1500</v>
      </c>
      <c r="I8" s="447">
        <v>1500</v>
      </c>
      <c r="J8" s="447">
        <v>1500</v>
      </c>
      <c r="K8" s="447">
        <v>1500</v>
      </c>
      <c r="L8" s="447">
        <v>1500</v>
      </c>
      <c r="M8" s="447">
        <v>1500</v>
      </c>
      <c r="N8" s="447">
        <v>1800</v>
      </c>
      <c r="O8" s="447">
        <v>2000</v>
      </c>
    </row>
    <row r="9" spans="1:15" ht="18" customHeight="1" x14ac:dyDescent="0.3">
      <c r="A9" s="28" t="s">
        <v>187</v>
      </c>
      <c r="B9" s="75">
        <v>6000</v>
      </c>
      <c r="C9" s="39">
        <v>7500</v>
      </c>
      <c r="D9" s="39">
        <v>7500</v>
      </c>
      <c r="E9" s="39">
        <v>7500</v>
      </c>
      <c r="F9" s="446">
        <v>11000</v>
      </c>
      <c r="G9" s="446">
        <v>12000</v>
      </c>
      <c r="H9" s="446">
        <v>12000</v>
      </c>
      <c r="I9" s="446">
        <v>14000</v>
      </c>
      <c r="J9" s="446">
        <v>14000</v>
      </c>
      <c r="K9" s="446">
        <v>14000</v>
      </c>
      <c r="L9" s="446">
        <v>12000</v>
      </c>
      <c r="M9" s="446">
        <v>12000</v>
      </c>
      <c r="N9" s="446">
        <v>14000</v>
      </c>
      <c r="O9" s="446">
        <v>14000</v>
      </c>
    </row>
    <row r="10" spans="1:15" ht="18" customHeight="1" x14ac:dyDescent="0.3">
      <c r="A10" s="300" t="s">
        <v>2</v>
      </c>
      <c r="B10" s="26">
        <v>1500</v>
      </c>
      <c r="C10" s="26">
        <v>200</v>
      </c>
      <c r="D10" s="26">
        <v>750</v>
      </c>
      <c r="E10" s="26">
        <v>750</v>
      </c>
      <c r="F10" s="451">
        <v>250</v>
      </c>
      <c r="G10" s="451">
        <v>500</v>
      </c>
      <c r="H10" s="451">
        <v>500</v>
      </c>
      <c r="I10" s="451">
        <v>500</v>
      </c>
      <c r="J10" s="451">
        <v>500</v>
      </c>
      <c r="K10" s="451">
        <v>500</v>
      </c>
      <c r="L10" s="451">
        <v>250</v>
      </c>
      <c r="M10" s="451">
        <v>250</v>
      </c>
      <c r="N10" s="451">
        <v>300</v>
      </c>
      <c r="O10" s="451">
        <v>300</v>
      </c>
    </row>
    <row r="11" spans="1:15" ht="18" hidden="1" customHeight="1" x14ac:dyDescent="0.3">
      <c r="A11" s="29" t="s">
        <v>659</v>
      </c>
      <c r="B11" s="46">
        <v>1000</v>
      </c>
      <c r="C11" s="46"/>
      <c r="D11" s="46"/>
      <c r="E11" s="46">
        <f>10740</f>
        <v>10740</v>
      </c>
      <c r="F11" s="395">
        <v>0</v>
      </c>
      <c r="G11" s="395">
        <v>0</v>
      </c>
      <c r="H11" s="395">
        <v>0</v>
      </c>
      <c r="I11" s="395">
        <v>0</v>
      </c>
      <c r="J11" s="395">
        <v>0</v>
      </c>
      <c r="K11" s="395">
        <v>0</v>
      </c>
      <c r="L11" s="395">
        <v>0</v>
      </c>
      <c r="M11" s="395">
        <v>0</v>
      </c>
      <c r="N11" s="395">
        <v>0</v>
      </c>
      <c r="O11" s="395">
        <v>0</v>
      </c>
    </row>
    <row r="12" spans="1:15" ht="18" hidden="1" customHeight="1" x14ac:dyDescent="0.3">
      <c r="A12" s="28" t="s">
        <v>389</v>
      </c>
      <c r="B12" s="39">
        <v>100</v>
      </c>
      <c r="C12" s="75">
        <v>100</v>
      </c>
      <c r="D12" s="75">
        <v>100</v>
      </c>
      <c r="E12" s="75">
        <v>100</v>
      </c>
      <c r="F12" s="439">
        <v>100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9">
        <v>0</v>
      </c>
      <c r="O12" s="439">
        <v>0</v>
      </c>
    </row>
    <row r="13" spans="1:15" ht="18" hidden="1" customHeight="1" x14ac:dyDescent="0.3">
      <c r="A13" s="28" t="s">
        <v>158</v>
      </c>
      <c r="B13" s="39">
        <v>250</v>
      </c>
      <c r="C13" s="39"/>
      <c r="D13" s="39">
        <v>300</v>
      </c>
      <c r="E13" s="39">
        <v>300</v>
      </c>
      <c r="F13" s="446">
        <v>300</v>
      </c>
      <c r="G13" s="446">
        <v>300</v>
      </c>
      <c r="H13" s="446">
        <v>300</v>
      </c>
      <c r="I13" s="446">
        <v>0</v>
      </c>
      <c r="J13" s="446">
        <v>300</v>
      </c>
      <c r="K13" s="446">
        <v>0</v>
      </c>
      <c r="L13" s="446">
        <v>0</v>
      </c>
      <c r="M13" s="446">
        <v>0</v>
      </c>
      <c r="N13" s="446">
        <v>0</v>
      </c>
      <c r="O13" s="446">
        <v>0</v>
      </c>
    </row>
    <row r="14" spans="1:15" ht="18" customHeight="1" x14ac:dyDescent="0.3">
      <c r="A14" s="28" t="s">
        <v>240</v>
      </c>
      <c r="B14" s="26">
        <v>11000</v>
      </c>
      <c r="C14" s="46">
        <v>7500</v>
      </c>
      <c r="D14" s="46">
        <v>8000</v>
      </c>
      <c r="E14" s="46">
        <v>8000</v>
      </c>
      <c r="F14" s="395">
        <v>8000</v>
      </c>
      <c r="G14" s="395">
        <v>8000</v>
      </c>
      <c r="H14" s="395">
        <v>8000</v>
      </c>
      <c r="I14" s="395">
        <v>9000</v>
      </c>
      <c r="J14" s="395">
        <v>9000</v>
      </c>
      <c r="K14" s="395">
        <v>10000</v>
      </c>
      <c r="L14" s="395">
        <v>10000</v>
      </c>
      <c r="M14" s="395">
        <v>12000</v>
      </c>
      <c r="N14" s="395">
        <v>12000</v>
      </c>
      <c r="O14" s="395">
        <v>12000</v>
      </c>
    </row>
    <row r="15" spans="1:15" ht="18" customHeight="1" x14ac:dyDescent="0.3">
      <c r="A15" s="28" t="s">
        <v>185</v>
      </c>
      <c r="B15" s="39">
        <v>1500</v>
      </c>
      <c r="C15" s="39">
        <v>1000</v>
      </c>
      <c r="D15" s="39">
        <v>2000</v>
      </c>
      <c r="E15" s="39">
        <v>2000</v>
      </c>
      <c r="F15" s="446">
        <v>6000</v>
      </c>
      <c r="G15" s="446">
        <v>6000</v>
      </c>
      <c r="H15" s="446">
        <v>6000</v>
      </c>
      <c r="I15" s="446">
        <v>6000</v>
      </c>
      <c r="J15" s="446">
        <v>6000</v>
      </c>
      <c r="K15" s="446">
        <v>8000</v>
      </c>
      <c r="L15" s="446">
        <v>8000</v>
      </c>
      <c r="M15" s="446">
        <v>8000</v>
      </c>
      <c r="N15" s="446">
        <v>10000</v>
      </c>
      <c r="O15" s="446">
        <v>10000</v>
      </c>
    </row>
    <row r="16" spans="1:15" ht="18" customHeight="1" x14ac:dyDescent="0.3">
      <c r="A16" s="28" t="s">
        <v>241</v>
      </c>
      <c r="B16" s="39">
        <v>2000</v>
      </c>
      <c r="C16" s="26">
        <v>1500</v>
      </c>
      <c r="D16" s="26">
        <v>1500</v>
      </c>
      <c r="E16" s="26">
        <v>1500</v>
      </c>
      <c r="F16" s="451">
        <v>3800</v>
      </c>
      <c r="G16" s="451">
        <v>3500</v>
      </c>
      <c r="H16" s="451">
        <v>5500</v>
      </c>
      <c r="I16" s="451">
        <v>4000</v>
      </c>
      <c r="J16" s="451">
        <f>4000+(145*8)+(261*8)</f>
        <v>7248</v>
      </c>
      <c r="K16" s="451">
        <f>4000+(145*8)+(261*8)+2</f>
        <v>7250</v>
      </c>
      <c r="L16" s="451">
        <f>4000+(145*8)+(261*8)+2</f>
        <v>7250</v>
      </c>
      <c r="M16" s="451">
        <v>7000</v>
      </c>
      <c r="N16" s="451">
        <v>8000</v>
      </c>
      <c r="O16" s="451">
        <v>10000</v>
      </c>
    </row>
    <row r="17" spans="1:15" ht="18" customHeight="1" x14ac:dyDescent="0.3">
      <c r="A17" s="28" t="s">
        <v>186</v>
      </c>
      <c r="B17" s="39">
        <v>300</v>
      </c>
      <c r="C17" s="46">
        <v>300</v>
      </c>
      <c r="D17" s="46">
        <v>300</v>
      </c>
      <c r="E17" s="46">
        <v>300</v>
      </c>
      <c r="F17" s="395">
        <v>300</v>
      </c>
      <c r="G17" s="395">
        <v>300</v>
      </c>
      <c r="H17" s="395">
        <v>300</v>
      </c>
      <c r="I17" s="395">
        <v>350</v>
      </c>
      <c r="J17" s="395">
        <v>350</v>
      </c>
      <c r="K17" s="395">
        <v>350</v>
      </c>
      <c r="L17" s="395">
        <v>350</v>
      </c>
      <c r="M17" s="395">
        <v>400</v>
      </c>
      <c r="N17" s="395">
        <v>500</v>
      </c>
      <c r="O17" s="395">
        <v>500</v>
      </c>
    </row>
    <row r="18" spans="1:15" ht="18" customHeight="1" x14ac:dyDescent="0.3">
      <c r="A18" s="42" t="s">
        <v>242</v>
      </c>
      <c r="B18" s="301">
        <v>750</v>
      </c>
      <c r="C18" s="302">
        <v>600</v>
      </c>
      <c r="D18" s="302">
        <v>600</v>
      </c>
      <c r="E18" s="302">
        <v>600</v>
      </c>
      <c r="F18" s="453">
        <v>1200</v>
      </c>
      <c r="G18" s="453">
        <v>1500</v>
      </c>
      <c r="H18" s="453">
        <v>1500</v>
      </c>
      <c r="I18" s="453">
        <v>1500</v>
      </c>
      <c r="J18" s="453">
        <v>1500</v>
      </c>
      <c r="K18" s="453">
        <v>1000</v>
      </c>
      <c r="L18" s="453">
        <v>1000</v>
      </c>
      <c r="M18" s="453">
        <v>1200</v>
      </c>
      <c r="N18" s="453">
        <v>1500</v>
      </c>
      <c r="O18" s="453">
        <v>1500</v>
      </c>
    </row>
    <row r="19" spans="1:15" ht="18" customHeight="1" x14ac:dyDescent="0.3">
      <c r="A19" s="42" t="s">
        <v>159</v>
      </c>
      <c r="B19" s="330">
        <v>1000</v>
      </c>
      <c r="C19" s="301">
        <v>1000</v>
      </c>
      <c r="D19" s="301">
        <v>1500</v>
      </c>
      <c r="E19" s="301">
        <v>3000</v>
      </c>
      <c r="F19" s="454">
        <v>2000</v>
      </c>
      <c r="G19" s="454">
        <v>3000</v>
      </c>
      <c r="H19" s="454">
        <v>3000</v>
      </c>
      <c r="I19" s="454">
        <v>3200</v>
      </c>
      <c r="J19" s="454">
        <v>3200</v>
      </c>
      <c r="K19" s="454">
        <v>3200</v>
      </c>
      <c r="L19" s="454">
        <v>3200</v>
      </c>
      <c r="M19" s="454">
        <v>3500</v>
      </c>
      <c r="N19" s="454">
        <v>4000</v>
      </c>
      <c r="O19" s="454">
        <v>5000</v>
      </c>
    </row>
    <row r="20" spans="1:15" ht="18" customHeight="1" x14ac:dyDescent="0.3">
      <c r="A20" s="42" t="s">
        <v>160</v>
      </c>
      <c r="B20" s="301">
        <v>250</v>
      </c>
      <c r="C20" s="330"/>
      <c r="D20" s="330">
        <v>750</v>
      </c>
      <c r="E20" s="330">
        <v>750</v>
      </c>
      <c r="F20" s="455">
        <v>500</v>
      </c>
      <c r="G20" s="455">
        <v>750</v>
      </c>
      <c r="H20" s="455">
        <v>2500</v>
      </c>
      <c r="I20" s="455">
        <v>3500</v>
      </c>
      <c r="J20" s="455">
        <v>2000</v>
      </c>
      <c r="K20" s="455">
        <v>2000</v>
      </c>
      <c r="L20" s="455">
        <v>2000</v>
      </c>
      <c r="M20" s="455">
        <v>2200</v>
      </c>
      <c r="N20" s="455">
        <v>2500</v>
      </c>
      <c r="O20" s="455">
        <v>2500</v>
      </c>
    </row>
    <row r="21" spans="1:15" ht="18" customHeight="1" x14ac:dyDescent="0.3">
      <c r="A21" s="42" t="s">
        <v>723</v>
      </c>
      <c r="B21" s="349"/>
      <c r="C21" s="301">
        <v>400</v>
      </c>
      <c r="D21" s="301">
        <v>400</v>
      </c>
      <c r="E21" s="301">
        <v>400</v>
      </c>
      <c r="F21" s="454">
        <v>200</v>
      </c>
      <c r="G21" s="454">
        <v>250</v>
      </c>
      <c r="H21" s="454">
        <v>250</v>
      </c>
      <c r="I21" s="454">
        <v>750</v>
      </c>
      <c r="J21" s="454">
        <f>200+(90*6)+(120*2)+(63*3)+(220*3)+(175*2)</f>
        <v>2179</v>
      </c>
      <c r="K21" s="454">
        <f>200+(90*6)+(120*2)+(63*3)+(220*3)+(175*2)</f>
        <v>2179</v>
      </c>
      <c r="L21" s="454">
        <f>200+(90*6)+(120*2)+(63*3)+(220*3)+(175*2)</f>
        <v>2179</v>
      </c>
      <c r="M21" s="454">
        <v>5000</v>
      </c>
      <c r="N21" s="454">
        <f>5000+(1800*2)</f>
        <v>8600</v>
      </c>
      <c r="O21" s="454">
        <f>5000+(2500)</f>
        <v>7500</v>
      </c>
    </row>
    <row r="22" spans="1:15" ht="18" hidden="1" customHeight="1" x14ac:dyDescent="0.3">
      <c r="A22" s="47" t="s">
        <v>349</v>
      </c>
      <c r="B22" s="302"/>
      <c r="C22" s="302">
        <v>25000</v>
      </c>
      <c r="D22" s="302"/>
      <c r="E22" s="302"/>
      <c r="F22" s="453">
        <v>27000</v>
      </c>
      <c r="G22" s="453">
        <v>0</v>
      </c>
      <c r="H22" s="453">
        <v>0</v>
      </c>
      <c r="I22" s="453">
        <v>0</v>
      </c>
      <c r="J22" s="453">
        <v>0</v>
      </c>
      <c r="K22" s="453">
        <v>0</v>
      </c>
      <c r="L22" s="453">
        <v>0</v>
      </c>
      <c r="M22" s="453">
        <v>0</v>
      </c>
      <c r="N22" s="453">
        <v>0</v>
      </c>
      <c r="O22" s="453">
        <v>0</v>
      </c>
    </row>
    <row r="23" spans="1:15" ht="18" customHeight="1" x14ac:dyDescent="0.3">
      <c r="A23" s="42" t="s">
        <v>443</v>
      </c>
      <c r="C23" s="350"/>
      <c r="D23" s="350"/>
      <c r="E23" s="302">
        <v>9086</v>
      </c>
      <c r="F23" s="453">
        <v>4000</v>
      </c>
      <c r="G23" s="453">
        <v>0</v>
      </c>
      <c r="H23" s="453">
        <v>2000</v>
      </c>
      <c r="I23" s="453">
        <v>2750</v>
      </c>
      <c r="J23" s="453">
        <v>2900</v>
      </c>
      <c r="K23" s="453">
        <v>3000</v>
      </c>
      <c r="L23" s="453">
        <v>3000</v>
      </c>
      <c r="M23" s="453">
        <v>3200</v>
      </c>
      <c r="N23" s="453">
        <v>3500</v>
      </c>
      <c r="O23" s="453">
        <v>3500</v>
      </c>
    </row>
    <row r="24" spans="1:15" ht="18" hidden="1" customHeight="1" x14ac:dyDescent="0.3">
      <c r="A24" s="47" t="s">
        <v>507</v>
      </c>
      <c r="B24" s="303"/>
      <c r="C24" s="302"/>
      <c r="D24" s="302"/>
      <c r="E24" s="302">
        <v>5000</v>
      </c>
      <c r="F24" s="453">
        <v>0</v>
      </c>
      <c r="G24" s="453">
        <v>1500</v>
      </c>
      <c r="H24" s="453">
        <v>1500</v>
      </c>
      <c r="I24" s="453">
        <v>0</v>
      </c>
      <c r="J24" s="453">
        <v>0</v>
      </c>
      <c r="K24" s="453">
        <v>0</v>
      </c>
      <c r="L24" s="453">
        <v>0</v>
      </c>
      <c r="M24" s="453">
        <v>0</v>
      </c>
      <c r="N24" s="453">
        <v>0</v>
      </c>
      <c r="O24" s="453">
        <v>0</v>
      </c>
    </row>
    <row r="25" spans="1:15" ht="18" hidden="1" customHeight="1" x14ac:dyDescent="0.3">
      <c r="A25" s="364" t="s">
        <v>444</v>
      </c>
      <c r="B25" s="363"/>
      <c r="C25" s="302"/>
      <c r="D25" s="302"/>
      <c r="E25" s="302"/>
      <c r="F25" s="453">
        <f>2*11500</f>
        <v>23000</v>
      </c>
      <c r="G25" s="453">
        <v>0</v>
      </c>
      <c r="H25" s="453">
        <v>0</v>
      </c>
      <c r="I25" s="453">
        <v>0</v>
      </c>
      <c r="J25" s="453">
        <v>0</v>
      </c>
      <c r="K25" s="453">
        <v>0</v>
      </c>
      <c r="L25" s="453">
        <v>0</v>
      </c>
      <c r="M25" s="453">
        <v>0</v>
      </c>
      <c r="N25" s="453">
        <v>0</v>
      </c>
      <c r="O25" s="453">
        <v>0</v>
      </c>
    </row>
    <row r="26" spans="1:15" ht="18" hidden="1" customHeight="1" x14ac:dyDescent="0.3">
      <c r="A26" s="364" t="s">
        <v>445</v>
      </c>
      <c r="B26" s="363"/>
      <c r="C26" s="302"/>
      <c r="D26" s="302"/>
      <c r="E26" s="302"/>
      <c r="F26" s="453">
        <f>3*3500</f>
        <v>10500</v>
      </c>
      <c r="G26" s="453">
        <v>0</v>
      </c>
      <c r="H26" s="453">
        <v>0</v>
      </c>
      <c r="I26" s="453">
        <v>0</v>
      </c>
      <c r="J26" s="453">
        <v>0</v>
      </c>
      <c r="K26" s="453">
        <v>0</v>
      </c>
      <c r="L26" s="453">
        <v>0</v>
      </c>
      <c r="M26" s="453">
        <v>0</v>
      </c>
      <c r="N26" s="453">
        <v>0</v>
      </c>
      <c r="O26" s="453">
        <v>0</v>
      </c>
    </row>
    <row r="27" spans="1:15" ht="18" hidden="1" customHeight="1" x14ac:dyDescent="0.3">
      <c r="A27" s="42" t="s">
        <v>596</v>
      </c>
      <c r="C27" s="42"/>
      <c r="D27" s="42"/>
      <c r="E27" s="42"/>
      <c r="F27" s="395">
        <v>0</v>
      </c>
      <c r="G27" s="395">
        <v>42000</v>
      </c>
      <c r="H27" s="395">
        <v>4000</v>
      </c>
      <c r="I27" s="395">
        <v>0</v>
      </c>
      <c r="J27" s="395">
        <v>15000</v>
      </c>
      <c r="K27" s="395">
        <v>25000</v>
      </c>
      <c r="L27" s="395">
        <v>0</v>
      </c>
      <c r="M27" s="395">
        <v>0</v>
      </c>
      <c r="N27" s="395">
        <v>0</v>
      </c>
      <c r="O27" s="395">
        <v>0</v>
      </c>
    </row>
    <row r="28" spans="1:15" ht="18" hidden="1" customHeight="1" x14ac:dyDescent="0.3">
      <c r="A28" s="42" t="s">
        <v>600</v>
      </c>
      <c r="C28" s="350"/>
      <c r="D28" s="350"/>
      <c r="E28" s="598"/>
      <c r="F28" s="453"/>
      <c r="G28" s="453"/>
      <c r="H28" s="453"/>
      <c r="I28" s="453">
        <v>0</v>
      </c>
      <c r="J28" s="453">
        <f>(12*977.55)+(12*356.25)+(12*62)+62+944+183</f>
        <v>17938.599999999999</v>
      </c>
      <c r="K28" s="453">
        <v>0</v>
      </c>
      <c r="L28" s="453">
        <v>0</v>
      </c>
      <c r="M28" s="453">
        <v>0</v>
      </c>
      <c r="N28" s="453">
        <v>0</v>
      </c>
      <c r="O28" s="453">
        <v>0</v>
      </c>
    </row>
    <row r="29" spans="1:15" ht="18" hidden="1" customHeight="1" x14ac:dyDescent="0.3">
      <c r="A29" s="42" t="s">
        <v>648</v>
      </c>
      <c r="C29" s="350"/>
      <c r="D29" s="350"/>
      <c r="E29" s="598"/>
      <c r="F29" s="453"/>
      <c r="G29" s="453"/>
      <c r="H29" s="453"/>
      <c r="I29" s="453">
        <v>0</v>
      </c>
      <c r="J29" s="453">
        <v>0</v>
      </c>
      <c r="K29" s="453">
        <f>3*1400</f>
        <v>4200</v>
      </c>
      <c r="L29" s="453">
        <f>2*(260+975+(2*800))</f>
        <v>5670</v>
      </c>
      <c r="M29" s="453">
        <v>0</v>
      </c>
      <c r="N29" s="453">
        <v>0</v>
      </c>
      <c r="O29" s="453">
        <v>0</v>
      </c>
    </row>
    <row r="30" spans="1:15" ht="18" hidden="1" customHeight="1" x14ac:dyDescent="0.3">
      <c r="A30" s="42" t="s">
        <v>658</v>
      </c>
      <c r="C30" s="350"/>
      <c r="D30" s="350"/>
      <c r="E30" s="598"/>
      <c r="F30" s="453"/>
      <c r="G30" s="453"/>
      <c r="H30" s="453"/>
      <c r="I30" s="453"/>
      <c r="J30" s="453"/>
      <c r="K30" s="453"/>
      <c r="L30" s="453">
        <v>12000</v>
      </c>
      <c r="M30" s="453">
        <v>0</v>
      </c>
      <c r="N30" s="453">
        <v>0</v>
      </c>
      <c r="O30" s="453">
        <v>0</v>
      </c>
    </row>
    <row r="31" spans="1:15" ht="18" hidden="1" customHeight="1" x14ac:dyDescent="0.3">
      <c r="A31" s="42" t="s">
        <v>654</v>
      </c>
      <c r="C31" s="350"/>
      <c r="D31" s="350"/>
      <c r="E31" s="598"/>
      <c r="F31" s="453"/>
      <c r="G31" s="453"/>
      <c r="H31" s="453"/>
      <c r="I31" s="453"/>
      <c r="J31" s="453"/>
      <c r="K31" s="453"/>
      <c r="L31" s="453">
        <f>9500*2</f>
        <v>19000</v>
      </c>
      <c r="M31" s="453">
        <v>0</v>
      </c>
      <c r="N31" s="453">
        <v>0</v>
      </c>
      <c r="O31" s="453">
        <v>0</v>
      </c>
    </row>
    <row r="32" spans="1:15" ht="18" customHeight="1" x14ac:dyDescent="0.3">
      <c r="A32" s="42" t="s">
        <v>698</v>
      </c>
      <c r="C32" s="350"/>
      <c r="D32" s="350"/>
      <c r="E32" s="598"/>
      <c r="F32" s="453"/>
      <c r="G32" s="453"/>
      <c r="H32" s="453"/>
      <c r="I32" s="453"/>
      <c r="J32" s="453"/>
      <c r="K32" s="453"/>
      <c r="L32" s="453"/>
      <c r="M32" s="453">
        <v>60000</v>
      </c>
      <c r="N32" s="453">
        <v>0</v>
      </c>
      <c r="O32" s="453">
        <v>0</v>
      </c>
    </row>
    <row r="33" spans="1:15" ht="18" customHeight="1" x14ac:dyDescent="0.3">
      <c r="A33" s="42" t="s">
        <v>758</v>
      </c>
      <c r="C33" s="350"/>
      <c r="D33" s="350"/>
      <c r="E33" s="598"/>
      <c r="F33" s="453"/>
      <c r="G33" s="453"/>
      <c r="H33" s="453"/>
      <c r="I33" s="453"/>
      <c r="J33" s="453"/>
      <c r="K33" s="453"/>
      <c r="L33" s="453"/>
      <c r="M33" s="453"/>
      <c r="N33" s="453"/>
      <c r="O33" s="453">
        <f>((5*2500)+(3*2100))*0</f>
        <v>0</v>
      </c>
    </row>
    <row r="34" spans="1:15" ht="18" customHeight="1" x14ac:dyDescent="0.3">
      <c r="A34" s="594"/>
      <c r="B34" s="303">
        <v>-20000</v>
      </c>
      <c r="C34" s="303"/>
      <c r="D34" s="303"/>
      <c r="E34" s="302"/>
      <c r="F34" s="453"/>
      <c r="G34" s="453"/>
      <c r="H34" s="453"/>
      <c r="I34" s="453"/>
      <c r="J34" s="453"/>
      <c r="K34" s="453"/>
      <c r="L34" s="453"/>
      <c r="M34" s="453"/>
      <c r="N34" s="453"/>
      <c r="O34" s="453"/>
    </row>
    <row r="35" spans="1:15" ht="18" customHeight="1" x14ac:dyDescent="0.3">
      <c r="A35" s="304" t="s">
        <v>140</v>
      </c>
      <c r="B35" s="285">
        <f t="shared" ref="B35:K35" si="0">SUM(B3:B34)</f>
        <v>10400</v>
      </c>
      <c r="C35" s="285">
        <f t="shared" si="0"/>
        <v>48250</v>
      </c>
      <c r="D35" s="285">
        <f t="shared" si="0"/>
        <v>26900</v>
      </c>
      <c r="E35" s="285">
        <f t="shared" si="0"/>
        <v>53326</v>
      </c>
      <c r="F35" s="456">
        <f t="shared" si="0"/>
        <v>102450</v>
      </c>
      <c r="G35" s="456">
        <f t="shared" si="0"/>
        <v>84200</v>
      </c>
      <c r="H35" s="456">
        <f t="shared" si="0"/>
        <v>52950</v>
      </c>
      <c r="I35" s="456">
        <f t="shared" si="0"/>
        <v>51450</v>
      </c>
      <c r="J35" s="456">
        <f t="shared" si="0"/>
        <v>88015.6</v>
      </c>
      <c r="K35" s="456">
        <f t="shared" si="0"/>
        <v>86579</v>
      </c>
      <c r="L35" s="456">
        <f>SUM(L3:L34)</f>
        <v>91799</v>
      </c>
      <c r="M35" s="456">
        <f>SUM(M3:M34)</f>
        <v>120650</v>
      </c>
      <c r="N35" s="456">
        <f>SUM(N3:N34)</f>
        <v>72300</v>
      </c>
      <c r="O35" s="456">
        <f>SUM(O3:O34)</f>
        <v>74400</v>
      </c>
    </row>
    <row r="36" spans="1:15" ht="18" customHeight="1" x14ac:dyDescent="0.3"/>
    <row r="37" spans="1:15" ht="18" customHeight="1" x14ac:dyDescent="0.3"/>
    <row r="40" spans="1:15" x14ac:dyDescent="0.3">
      <c r="A40" s="165"/>
    </row>
    <row r="41" spans="1:15" x14ac:dyDescent="0.3">
      <c r="A41" s="165"/>
    </row>
    <row r="42" spans="1:15" x14ac:dyDescent="0.3">
      <c r="A42" s="165"/>
    </row>
    <row r="43" spans="1:15" x14ac:dyDescent="0.3">
      <c r="A43" s="165"/>
    </row>
    <row r="44" spans="1:15" x14ac:dyDescent="0.3">
      <c r="A44" s="166"/>
    </row>
    <row r="45" spans="1:15" x14ac:dyDescent="0.3">
      <c r="A45" s="165"/>
    </row>
  </sheetData>
  <sortState xmlns:xlrd2="http://schemas.microsoft.com/office/spreadsheetml/2017/richdata2" ref="A4:E23">
    <sortCondition ref="A4:A23"/>
  </sortState>
  <phoneticPr fontId="21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"/>
  <sheetViews>
    <sheetView workbookViewId="0"/>
  </sheetViews>
  <sheetFormatPr defaultColWidth="9.140625" defaultRowHeight="16.5" x14ac:dyDescent="0.3"/>
  <cols>
    <col min="1" max="1" width="30.42578125" style="18" bestFit="1" customWidth="1"/>
    <col min="2" max="2" width="10.7109375" style="18" hidden="1" customWidth="1"/>
    <col min="3" max="3" width="11.5703125" style="18" hidden="1" customWidth="1"/>
    <col min="4" max="4" width="10.7109375" style="18" hidden="1" customWidth="1"/>
    <col min="5" max="8" width="11.5703125" style="18" hidden="1" customWidth="1"/>
    <col min="9" max="12" width="0" style="18" hidden="1" customWidth="1"/>
    <col min="13" max="15" width="9.5703125" style="18" bestFit="1" customWidth="1"/>
    <col min="16" max="16384" width="9.140625" style="18"/>
  </cols>
  <sheetData>
    <row r="1" spans="1:15" ht="24" customHeight="1" x14ac:dyDescent="0.3">
      <c r="A1" s="351" t="s">
        <v>393</v>
      </c>
      <c r="B1" s="145"/>
      <c r="C1" s="145"/>
      <c r="D1" s="145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20.100000000000001" customHeight="1" x14ac:dyDescent="0.3">
      <c r="A2" s="27"/>
      <c r="B2" s="68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0.100000000000001" customHeight="1" x14ac:dyDescent="0.3">
      <c r="A3" s="27"/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ht="20.100000000000001" customHeight="1" x14ac:dyDescent="0.3">
      <c r="A4" s="27"/>
      <c r="B4" s="71"/>
      <c r="C4" s="150"/>
      <c r="D4" s="150"/>
      <c r="E4" s="150"/>
      <c r="F4" s="434"/>
      <c r="G4" s="434"/>
      <c r="H4" s="434"/>
      <c r="I4" s="434"/>
      <c r="J4" s="434"/>
      <c r="K4" s="434"/>
      <c r="L4" s="434"/>
      <c r="M4" s="434"/>
      <c r="N4" s="434"/>
      <c r="O4" s="434"/>
    </row>
    <row r="5" spans="1:15" ht="20.100000000000001" customHeight="1" x14ac:dyDescent="0.3">
      <c r="A5" s="28" t="s">
        <v>156</v>
      </c>
      <c r="B5" s="46">
        <v>16766</v>
      </c>
      <c r="C5" s="39">
        <v>19465</v>
      </c>
      <c r="D5" s="39">
        <v>19269</v>
      </c>
      <c r="E5" s="39">
        <v>18617.73</v>
      </c>
      <c r="F5" s="446">
        <v>19077</v>
      </c>
      <c r="G5" s="446">
        <v>15782</v>
      </c>
      <c r="H5" s="446">
        <v>22314</v>
      </c>
      <c r="I5" s="446">
        <v>22102</v>
      </c>
      <c r="J5" s="446">
        <v>23418</v>
      </c>
      <c r="K5" s="446">
        <v>19232</v>
      </c>
      <c r="L5" s="446">
        <v>19120</v>
      </c>
      <c r="M5" s="446">
        <v>20427</v>
      </c>
      <c r="N5" s="446">
        <v>22069</v>
      </c>
      <c r="O5" s="446">
        <f>'Uniform WS'!E52</f>
        <v>22069.3</v>
      </c>
    </row>
    <row r="6" spans="1:15" ht="20.100000000000001" customHeight="1" x14ac:dyDescent="0.3">
      <c r="A6" s="29" t="s">
        <v>157</v>
      </c>
      <c r="B6" s="46">
        <v>37450</v>
      </c>
      <c r="C6" s="32">
        <f>'Gear WS'!C32</f>
        <v>31900</v>
      </c>
      <c r="D6" s="32">
        <f>'Gear WS'!D32</f>
        <v>34917.75</v>
      </c>
      <c r="E6" s="32">
        <v>38575.300000000003</v>
      </c>
      <c r="F6" s="401">
        <v>48390</v>
      </c>
      <c r="G6" s="401">
        <f>'Gear WS'!G32</f>
        <v>109740</v>
      </c>
      <c r="H6" s="401">
        <f>'Gear WS'!H32</f>
        <v>59680</v>
      </c>
      <c r="I6" s="401">
        <f>'Gear WS'!I32</f>
        <v>44810</v>
      </c>
      <c r="J6" s="401">
        <v>52814</v>
      </c>
      <c r="K6" s="401">
        <v>43830</v>
      </c>
      <c r="L6" s="401">
        <v>41660</v>
      </c>
      <c r="M6" s="401">
        <f>'Gear WS'!M32</f>
        <v>70750</v>
      </c>
      <c r="N6" s="401">
        <v>115600</v>
      </c>
      <c r="O6" s="401">
        <f>'Gear WS'!O32</f>
        <v>80450</v>
      </c>
    </row>
    <row r="7" spans="1:15" ht="20.100000000000001" customHeight="1" x14ac:dyDescent="0.3">
      <c r="A7" s="186"/>
      <c r="B7" s="138"/>
      <c r="C7" s="138"/>
      <c r="D7" s="138"/>
      <c r="E7" s="138"/>
      <c r="F7" s="483"/>
      <c r="G7" s="483"/>
      <c r="H7" s="483"/>
      <c r="I7" s="483"/>
      <c r="J7" s="483"/>
      <c r="K7" s="483"/>
      <c r="L7" s="483"/>
      <c r="M7" s="483"/>
      <c r="N7" s="483"/>
      <c r="O7" s="483"/>
    </row>
    <row r="8" spans="1:15" ht="20.100000000000001" customHeight="1" x14ac:dyDescent="0.3">
      <c r="A8" s="29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</row>
    <row r="9" spans="1:15" ht="20.100000000000001" customHeight="1" thickBot="1" x14ac:dyDescent="0.35">
      <c r="A9" s="293"/>
      <c r="B9" s="316">
        <v>-24500</v>
      </c>
      <c r="C9" s="212"/>
      <c r="D9" s="212"/>
      <c r="E9" s="212"/>
      <c r="F9" s="474"/>
      <c r="G9" s="474"/>
      <c r="H9" s="474"/>
      <c r="I9" s="474"/>
      <c r="J9" s="474"/>
      <c r="K9" s="474"/>
      <c r="L9" s="474"/>
      <c r="M9" s="474"/>
      <c r="N9" s="474"/>
      <c r="O9" s="474"/>
    </row>
    <row r="10" spans="1:15" ht="24" customHeight="1" thickTop="1" x14ac:dyDescent="0.3">
      <c r="A10" s="164" t="s">
        <v>141</v>
      </c>
      <c r="B10" s="34">
        <f t="shared" ref="B10:H10" si="0">SUM(B4:B9)</f>
        <v>29716</v>
      </c>
      <c r="C10" s="34">
        <f t="shared" si="0"/>
        <v>51365</v>
      </c>
      <c r="D10" s="34">
        <f t="shared" si="0"/>
        <v>54186.75</v>
      </c>
      <c r="E10" s="79">
        <f t="shared" si="0"/>
        <v>57193.03</v>
      </c>
      <c r="F10" s="465">
        <f t="shared" si="0"/>
        <v>67467</v>
      </c>
      <c r="G10" s="465">
        <f t="shared" si="0"/>
        <v>125522</v>
      </c>
      <c r="H10" s="465">
        <f t="shared" si="0"/>
        <v>81994</v>
      </c>
      <c r="I10" s="465">
        <f t="shared" ref="I10:N10" si="1">SUM(I4:I9)</f>
        <v>66912</v>
      </c>
      <c r="J10" s="465">
        <f t="shared" si="1"/>
        <v>76232</v>
      </c>
      <c r="K10" s="465">
        <f t="shared" si="1"/>
        <v>63062</v>
      </c>
      <c r="L10" s="465">
        <f t="shared" si="1"/>
        <v>60780</v>
      </c>
      <c r="M10" s="465">
        <f t="shared" si="1"/>
        <v>91177</v>
      </c>
      <c r="N10" s="465">
        <f t="shared" si="1"/>
        <v>137669</v>
      </c>
      <c r="O10" s="465">
        <f>SUM(O4:O9)</f>
        <v>102519.3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1" customWidth="1"/>
    <col min="2" max="2" width="12.140625" style="1" customWidth="1"/>
    <col min="3" max="3" width="12.85546875" style="6" bestFit="1" customWidth="1"/>
    <col min="4" max="4" width="14.140625" style="7" bestFit="1" customWidth="1"/>
    <col min="5" max="5" width="14.28515625" style="1" bestFit="1" customWidth="1"/>
    <col min="6" max="6" width="14.28515625" customWidth="1"/>
    <col min="7" max="7" width="14.140625" style="7" bestFit="1" customWidth="1"/>
    <col min="8" max="9" width="9.140625" style="1"/>
    <col min="10" max="10" width="13.28515625" style="1" customWidth="1"/>
    <col min="11" max="16384" width="9.140625" style="1"/>
  </cols>
  <sheetData>
    <row r="1" spans="1:7" ht="27.75" customHeight="1" x14ac:dyDescent="0.2">
      <c r="A1" s="659" t="s">
        <v>284</v>
      </c>
      <c r="B1" s="660"/>
      <c r="C1" s="660"/>
      <c r="D1" s="660"/>
      <c r="E1" s="661"/>
      <c r="G1" s="1"/>
    </row>
    <row r="2" spans="1:7" ht="15.75" x14ac:dyDescent="0.25">
      <c r="A2" s="222" t="s">
        <v>106</v>
      </c>
      <c r="B2" s="223"/>
      <c r="C2" s="223"/>
      <c r="D2" s="223"/>
      <c r="E2" s="224"/>
      <c r="G2" s="1"/>
    </row>
    <row r="3" spans="1:7" s="8" customFormat="1" ht="15.75" x14ac:dyDescent="0.25">
      <c r="A3" s="20" t="s">
        <v>107</v>
      </c>
      <c r="B3" s="225" t="s">
        <v>569</v>
      </c>
      <c r="C3" s="225" t="s">
        <v>108</v>
      </c>
      <c r="D3" s="225" t="s">
        <v>109</v>
      </c>
      <c r="E3" s="226" t="s">
        <v>110</v>
      </c>
      <c r="F3"/>
    </row>
    <row r="4" spans="1:7" ht="14.1" customHeight="1" x14ac:dyDescent="0.25">
      <c r="A4" s="204" t="s">
        <v>111</v>
      </c>
      <c r="B4" s="202">
        <v>33</v>
      </c>
      <c r="C4" s="202">
        <v>1</v>
      </c>
      <c r="D4" s="227">
        <f>((87.5+97.5)/2)+6</f>
        <v>98.5</v>
      </c>
      <c r="E4" s="238">
        <f t="shared" ref="E4:E9" si="0">B4*C4*D4</f>
        <v>3250.5</v>
      </c>
      <c r="G4" s="1"/>
    </row>
    <row r="5" spans="1:7" ht="14.1" customHeight="1" x14ac:dyDescent="0.25">
      <c r="A5" s="204" t="s">
        <v>112</v>
      </c>
      <c r="B5" s="202">
        <f>B4</f>
        <v>33</v>
      </c>
      <c r="C5" s="202">
        <v>1</v>
      </c>
      <c r="D5" s="227">
        <f>104.5</f>
        <v>104.5</v>
      </c>
      <c r="E5" s="238">
        <f t="shared" si="0"/>
        <v>3448.5</v>
      </c>
      <c r="G5" s="1"/>
    </row>
    <row r="6" spans="1:7" ht="14.1" customHeight="1" x14ac:dyDescent="0.25">
      <c r="A6" s="204" t="s">
        <v>481</v>
      </c>
      <c r="B6" s="202">
        <f>B4</f>
        <v>33</v>
      </c>
      <c r="C6" s="202">
        <v>4</v>
      </c>
      <c r="D6" s="227">
        <v>12</v>
      </c>
      <c r="E6" s="238">
        <f t="shared" si="0"/>
        <v>1584</v>
      </c>
      <c r="G6" s="1"/>
    </row>
    <row r="7" spans="1:7" ht="14.1" customHeight="1" x14ac:dyDescent="0.25">
      <c r="A7" s="204" t="s">
        <v>568</v>
      </c>
      <c r="B7" s="202">
        <f>B4</f>
        <v>33</v>
      </c>
      <c r="C7" s="202">
        <v>2</v>
      </c>
      <c r="D7" s="227">
        <f>42+8+6</f>
        <v>56</v>
      </c>
      <c r="E7" s="238">
        <f t="shared" si="0"/>
        <v>3696</v>
      </c>
      <c r="G7" s="1"/>
    </row>
    <row r="8" spans="1:7" ht="14.1" customHeight="1" x14ac:dyDescent="0.25">
      <c r="A8" s="204" t="s">
        <v>123</v>
      </c>
      <c r="B8" s="202">
        <f>B4</f>
        <v>33</v>
      </c>
      <c r="C8" s="202">
        <v>1</v>
      </c>
      <c r="D8" s="227">
        <f>64.5</f>
        <v>64.5</v>
      </c>
      <c r="E8" s="238">
        <f t="shared" si="0"/>
        <v>2128.5</v>
      </c>
      <c r="G8" s="1"/>
    </row>
    <row r="9" spans="1:7" ht="14.1" customHeight="1" x14ac:dyDescent="0.25">
      <c r="A9" s="204" t="s">
        <v>571</v>
      </c>
      <c r="B9" s="202">
        <f>B4</f>
        <v>33</v>
      </c>
      <c r="C9" s="202">
        <v>1</v>
      </c>
      <c r="D9" s="227">
        <v>20</v>
      </c>
      <c r="E9" s="238">
        <f t="shared" si="0"/>
        <v>660</v>
      </c>
      <c r="G9" s="1"/>
    </row>
    <row r="10" spans="1:7" ht="14.1" customHeight="1" x14ac:dyDescent="0.25">
      <c r="A10" s="228"/>
      <c r="B10" s="202"/>
      <c r="C10" s="202"/>
      <c r="D10" s="203"/>
      <c r="E10" s="239">
        <f>SUM(E4:E9)</f>
        <v>14767.5</v>
      </c>
      <c r="G10" s="1"/>
    </row>
    <row r="11" spans="1:7" ht="14.1" customHeight="1" x14ac:dyDescent="0.25">
      <c r="A11" s="228" t="s">
        <v>113</v>
      </c>
      <c r="B11" s="202"/>
      <c r="C11" s="202"/>
      <c r="D11" s="202"/>
      <c r="E11" s="205"/>
      <c r="G11" s="1"/>
    </row>
    <row r="12" spans="1:7" s="2" customFormat="1" ht="14.1" customHeight="1" x14ac:dyDescent="0.25">
      <c r="A12" s="20" t="str">
        <f>A3</f>
        <v>Item</v>
      </c>
      <c r="B12" s="225" t="str">
        <f>B3</f>
        <v>Personnel</v>
      </c>
      <c r="C12" s="225" t="str">
        <f>C3</f>
        <v>Quantity</v>
      </c>
      <c r="D12" s="225" t="str">
        <f>D3</f>
        <v xml:space="preserve">Cost </v>
      </c>
      <c r="E12" s="226" t="str">
        <f>E3</f>
        <v>Total</v>
      </c>
      <c r="F12"/>
    </row>
    <row r="13" spans="1:7" ht="14.1" customHeight="1" x14ac:dyDescent="0.25">
      <c r="A13" s="204" t="str">
        <f>A4</f>
        <v>Nomex Shirt</v>
      </c>
      <c r="B13" s="202">
        <v>3</v>
      </c>
      <c r="C13" s="202">
        <v>0</v>
      </c>
      <c r="D13" s="227">
        <f>D4</f>
        <v>98.5</v>
      </c>
      <c r="E13" s="238">
        <f>B13*C13*D13</f>
        <v>0</v>
      </c>
      <c r="G13" s="1"/>
    </row>
    <row r="14" spans="1:7" ht="14.1" customHeight="1" x14ac:dyDescent="0.25">
      <c r="A14" s="204" t="str">
        <f>A6</f>
        <v>T-Shirt</v>
      </c>
      <c r="B14" s="202">
        <f>B13</f>
        <v>3</v>
      </c>
      <c r="C14" s="202">
        <v>2</v>
      </c>
      <c r="D14" s="227">
        <f>D6</f>
        <v>12</v>
      </c>
      <c r="E14" s="238">
        <f>B14*C14*D14</f>
        <v>72</v>
      </c>
      <c r="G14" s="1"/>
    </row>
    <row r="15" spans="1:7" ht="14.1" customHeight="1" x14ac:dyDescent="0.25">
      <c r="A15" s="204" t="str">
        <f>A7</f>
        <v>Golf Shirt</v>
      </c>
      <c r="B15" s="202">
        <f>B13</f>
        <v>3</v>
      </c>
      <c r="C15" s="202">
        <v>1</v>
      </c>
      <c r="D15" s="227">
        <f>D7</f>
        <v>56</v>
      </c>
      <c r="E15" s="238">
        <f>B15*C15*D15</f>
        <v>168</v>
      </c>
      <c r="G15" s="1"/>
    </row>
    <row r="16" spans="1:7" ht="14.1" customHeight="1" x14ac:dyDescent="0.25">
      <c r="A16" s="204" t="str">
        <f>A8</f>
        <v>EMT Pants</v>
      </c>
      <c r="B16" s="202">
        <f>B13</f>
        <v>3</v>
      </c>
      <c r="C16" s="202">
        <v>1</v>
      </c>
      <c r="D16" s="227">
        <f>D8</f>
        <v>64.5</v>
      </c>
      <c r="E16" s="238">
        <f>B16*C16*D16</f>
        <v>193.5</v>
      </c>
      <c r="G16" s="1"/>
    </row>
    <row r="17" spans="1:7" ht="14.1" customHeight="1" x14ac:dyDescent="0.25">
      <c r="A17" s="204" t="str">
        <f>A9</f>
        <v>Uniform Shorts</v>
      </c>
      <c r="B17" s="202">
        <v>3</v>
      </c>
      <c r="C17" s="202">
        <v>1</v>
      </c>
      <c r="D17" s="227">
        <f>D9</f>
        <v>20</v>
      </c>
      <c r="E17" s="238">
        <f>B17*C17*D17</f>
        <v>60</v>
      </c>
      <c r="G17" s="1"/>
    </row>
    <row r="18" spans="1:7" ht="14.1" customHeight="1" x14ac:dyDescent="0.25">
      <c r="A18" s="204"/>
      <c r="B18" s="202"/>
      <c r="C18" s="202"/>
      <c r="D18" s="203"/>
      <c r="E18" s="239">
        <f>SUM(E13:E17)</f>
        <v>493.5</v>
      </c>
      <c r="G18" s="1"/>
    </row>
    <row r="19" spans="1:7" ht="14.1" customHeight="1" x14ac:dyDescent="0.25">
      <c r="A19" s="228" t="s">
        <v>644</v>
      </c>
      <c r="B19" s="202"/>
      <c r="C19" s="202"/>
      <c r="D19" s="202"/>
      <c r="E19" s="205"/>
      <c r="G19" s="1"/>
    </row>
    <row r="20" spans="1:7" s="2" customFormat="1" ht="14.1" customHeight="1" x14ac:dyDescent="0.25">
      <c r="A20" s="20" t="str">
        <f>A3</f>
        <v>Item</v>
      </c>
      <c r="B20" s="225" t="str">
        <f>B3</f>
        <v>Personnel</v>
      </c>
      <c r="C20" s="225" t="str">
        <f>C3</f>
        <v>Quantity</v>
      </c>
      <c r="D20" s="225" t="str">
        <f>D3</f>
        <v xml:space="preserve">Cost </v>
      </c>
      <c r="E20" s="226" t="str">
        <f>E3</f>
        <v>Total</v>
      </c>
      <c r="F20"/>
    </row>
    <row r="21" spans="1:7" ht="14.1" customHeight="1" x14ac:dyDescent="0.25">
      <c r="A21" s="204" t="str">
        <f>A4</f>
        <v>Nomex Shirt</v>
      </c>
      <c r="B21" s="202">
        <v>1</v>
      </c>
      <c r="C21" s="202">
        <v>2</v>
      </c>
      <c r="D21" s="227">
        <f>D4</f>
        <v>98.5</v>
      </c>
      <c r="E21" s="238">
        <f>B21*C21*D21</f>
        <v>197</v>
      </c>
      <c r="G21" s="1"/>
    </row>
    <row r="22" spans="1:7" ht="14.1" customHeight="1" x14ac:dyDescent="0.25">
      <c r="A22" s="204" t="str">
        <f>A5</f>
        <v>Nomex Pants</v>
      </c>
      <c r="B22" s="202">
        <f>B21</f>
        <v>1</v>
      </c>
      <c r="C22" s="202">
        <v>2</v>
      </c>
      <c r="D22" s="227">
        <f>D5</f>
        <v>104.5</v>
      </c>
      <c r="E22" s="238">
        <f>B22*C22*D22</f>
        <v>209</v>
      </c>
      <c r="G22" s="1"/>
    </row>
    <row r="23" spans="1:7" ht="14.1" customHeight="1" x14ac:dyDescent="0.25">
      <c r="A23" s="204" t="str">
        <f>A6</f>
        <v>T-Shirt</v>
      </c>
      <c r="B23" s="202">
        <f>B21</f>
        <v>1</v>
      </c>
      <c r="C23" s="202">
        <v>5</v>
      </c>
      <c r="D23" s="227">
        <f>D6</f>
        <v>12</v>
      </c>
      <c r="E23" s="238">
        <f>B23*C23*D23</f>
        <v>60</v>
      </c>
      <c r="G23" s="1"/>
    </row>
    <row r="24" spans="1:7" ht="14.1" customHeight="1" x14ac:dyDescent="0.25">
      <c r="A24" s="204" t="str">
        <f>A7</f>
        <v>Golf Shirt</v>
      </c>
      <c r="B24" s="202">
        <f>B21</f>
        <v>1</v>
      </c>
      <c r="C24" s="202">
        <v>1</v>
      </c>
      <c r="D24" s="227">
        <f>D7</f>
        <v>56</v>
      </c>
      <c r="E24" s="238">
        <f>B24*C24*D24</f>
        <v>56</v>
      </c>
      <c r="G24" s="1"/>
    </row>
    <row r="25" spans="1:7" ht="14.1" customHeight="1" x14ac:dyDescent="0.25">
      <c r="A25" s="204" t="str">
        <f>A8</f>
        <v>EMT Pants</v>
      </c>
      <c r="B25" s="202">
        <f>B21</f>
        <v>1</v>
      </c>
      <c r="C25" s="202">
        <v>0</v>
      </c>
      <c r="D25" s="203">
        <f>D8</f>
        <v>64.5</v>
      </c>
      <c r="E25" s="238">
        <f>B25*C25*D25</f>
        <v>0</v>
      </c>
      <c r="G25" s="1"/>
    </row>
    <row r="26" spans="1:7" ht="14.1" customHeight="1" x14ac:dyDescent="0.25">
      <c r="A26" s="228"/>
      <c r="B26" s="202"/>
      <c r="C26" s="202"/>
      <c r="D26" s="203"/>
      <c r="E26" s="239">
        <f>SUM(E21:E25)</f>
        <v>522</v>
      </c>
      <c r="G26" s="1"/>
    </row>
    <row r="27" spans="1:7" ht="14.1" customHeight="1" x14ac:dyDescent="0.25">
      <c r="A27" s="228" t="s">
        <v>607</v>
      </c>
      <c r="B27" s="202"/>
      <c r="C27" s="202"/>
      <c r="D27" s="202"/>
      <c r="E27" s="205"/>
      <c r="G27" s="1"/>
    </row>
    <row r="28" spans="1:7" s="2" customFormat="1" ht="14.1" customHeight="1" x14ac:dyDescent="0.25">
      <c r="A28" s="51" t="str">
        <f>A3</f>
        <v>Item</v>
      </c>
      <c r="B28" s="225" t="str">
        <f>B3</f>
        <v>Personnel</v>
      </c>
      <c r="C28" s="225" t="str">
        <f>C3</f>
        <v>Quantity</v>
      </c>
      <c r="D28" s="225" t="str">
        <f>D3</f>
        <v xml:space="preserve">Cost </v>
      </c>
      <c r="E28" s="226" t="str">
        <f>E3</f>
        <v>Total</v>
      </c>
      <c r="F28"/>
    </row>
    <row r="29" spans="1:7" ht="14.1" customHeight="1" x14ac:dyDescent="0.25">
      <c r="A29" s="204" t="str">
        <f>A7</f>
        <v>Golf Shirt</v>
      </c>
      <c r="B29" s="202">
        <v>4</v>
      </c>
      <c r="C29" s="202">
        <v>2</v>
      </c>
      <c r="D29" s="227">
        <f>D7</f>
        <v>56</v>
      </c>
      <c r="E29" s="238">
        <f>B29*C29*D29</f>
        <v>448</v>
      </c>
      <c r="G29" s="1"/>
    </row>
    <row r="30" spans="1:7" ht="14.1" customHeight="1" x14ac:dyDescent="0.25">
      <c r="A30" s="228"/>
      <c r="B30" s="202"/>
      <c r="C30" s="202"/>
      <c r="D30" s="203"/>
      <c r="E30" s="240">
        <f>SUM(E29)</f>
        <v>448</v>
      </c>
      <c r="G30" s="1"/>
    </row>
    <row r="31" spans="1:7" ht="14.1" customHeight="1" x14ac:dyDescent="0.25">
      <c r="A31" s="228" t="s">
        <v>114</v>
      </c>
      <c r="B31" s="202"/>
      <c r="C31" s="202"/>
      <c r="D31" s="202"/>
      <c r="E31" s="205"/>
      <c r="G31" s="1"/>
    </row>
    <row r="32" spans="1:7" s="2" customFormat="1" ht="14.1" customHeight="1" x14ac:dyDescent="0.25">
      <c r="A32" s="20" t="str">
        <f>A3</f>
        <v>Item</v>
      </c>
      <c r="B32" s="225" t="str">
        <f>B3</f>
        <v>Personnel</v>
      </c>
      <c r="C32" s="225" t="str">
        <f>C3</f>
        <v>Quantity</v>
      </c>
      <c r="D32" s="225" t="str">
        <f>D3</f>
        <v xml:space="preserve">Cost </v>
      </c>
      <c r="E32" s="226" t="str">
        <f>E3</f>
        <v>Total</v>
      </c>
      <c r="F32"/>
    </row>
    <row r="33" spans="1:7" ht="14.1" customHeight="1" x14ac:dyDescent="0.25">
      <c r="A33" s="204" t="str">
        <f>A4</f>
        <v>Nomex Shirt</v>
      </c>
      <c r="B33" s="202">
        <v>2</v>
      </c>
      <c r="C33" s="202">
        <v>0.5</v>
      </c>
      <c r="D33" s="227">
        <f>D4</f>
        <v>98.5</v>
      </c>
      <c r="E33" s="238">
        <f>B33*C33*D33</f>
        <v>98.5</v>
      </c>
      <c r="G33" s="1"/>
    </row>
    <row r="34" spans="1:7" ht="14.1" customHeight="1" x14ac:dyDescent="0.25">
      <c r="A34" s="204" t="str">
        <f>A6</f>
        <v>T-Shirt</v>
      </c>
      <c r="B34" s="202">
        <f>B33</f>
        <v>2</v>
      </c>
      <c r="C34" s="202">
        <v>2</v>
      </c>
      <c r="D34" s="227">
        <f>D6</f>
        <v>12</v>
      </c>
      <c r="E34" s="238">
        <f>B34*C34*D34</f>
        <v>48</v>
      </c>
      <c r="G34" s="1"/>
    </row>
    <row r="35" spans="1:7" ht="14.1" customHeight="1" x14ac:dyDescent="0.25">
      <c r="A35" s="204" t="str">
        <f>A7</f>
        <v>Golf Shirt</v>
      </c>
      <c r="B35" s="202">
        <f>B33</f>
        <v>2</v>
      </c>
      <c r="C35" s="202">
        <v>1</v>
      </c>
      <c r="D35" s="227">
        <f>D7</f>
        <v>56</v>
      </c>
      <c r="E35" s="238">
        <f>B35*C35*D35</f>
        <v>112</v>
      </c>
      <c r="G35" s="1"/>
    </row>
    <row r="36" spans="1:7" ht="14.1" customHeight="1" x14ac:dyDescent="0.25">
      <c r="A36" s="204" t="str">
        <f>A8</f>
        <v>EMT Pants</v>
      </c>
      <c r="B36" s="202">
        <f>B33</f>
        <v>2</v>
      </c>
      <c r="C36" s="202">
        <v>1</v>
      </c>
      <c r="D36" s="227">
        <f>D8</f>
        <v>64.5</v>
      </c>
      <c r="E36" s="238">
        <f>B36*C36*D36</f>
        <v>129</v>
      </c>
      <c r="G36" s="1"/>
    </row>
    <row r="37" spans="1:7" ht="18" customHeight="1" x14ac:dyDescent="0.25">
      <c r="A37" s="228"/>
      <c r="B37" s="202"/>
      <c r="C37" s="202"/>
      <c r="D37" s="227"/>
      <c r="E37" s="241">
        <f>SUM(E33:E36)</f>
        <v>387.5</v>
      </c>
      <c r="G37" s="1"/>
    </row>
    <row r="38" spans="1:7" ht="14.1" customHeight="1" x14ac:dyDescent="0.25">
      <c r="A38" s="228" t="s">
        <v>124</v>
      </c>
      <c r="B38" s="202"/>
      <c r="C38" s="202"/>
      <c r="D38" s="227"/>
      <c r="E38" s="241"/>
      <c r="G38" s="1"/>
    </row>
    <row r="39" spans="1:7" ht="14.1" customHeight="1" x14ac:dyDescent="0.25">
      <c r="A39" s="20" t="str">
        <f>A3</f>
        <v>Item</v>
      </c>
      <c r="B39" s="225"/>
      <c r="C39" s="225" t="str">
        <f>C3</f>
        <v>Quantity</v>
      </c>
      <c r="D39" s="225" t="str">
        <f>D3</f>
        <v xml:space="preserve">Cost </v>
      </c>
      <c r="E39" s="226" t="str">
        <f>E3</f>
        <v>Total</v>
      </c>
      <c r="G39" s="1"/>
    </row>
    <row r="40" spans="1:7" ht="14.1" customHeight="1" x14ac:dyDescent="0.25">
      <c r="A40" s="204" t="s">
        <v>116</v>
      </c>
      <c r="B40" s="202"/>
      <c r="C40" s="202">
        <v>0</v>
      </c>
      <c r="D40" s="227">
        <v>120</v>
      </c>
      <c r="E40" s="339">
        <f>C40*D40</f>
        <v>0</v>
      </c>
      <c r="F40" s="190"/>
      <c r="G40" s="1"/>
    </row>
    <row r="41" spans="1:7" ht="14.1" customHeight="1" x14ac:dyDescent="0.25">
      <c r="A41" s="204" t="s">
        <v>8</v>
      </c>
      <c r="B41" s="202"/>
      <c r="C41" s="202">
        <v>500</v>
      </c>
      <c r="D41" s="227"/>
      <c r="E41" s="339">
        <f t="shared" ref="E41:E49" si="1">C41*D41</f>
        <v>0</v>
      </c>
      <c r="G41" s="1"/>
    </row>
    <row r="42" spans="1:7" ht="14.1" customHeight="1" x14ac:dyDescent="0.25">
      <c r="A42" s="204" t="s">
        <v>128</v>
      </c>
      <c r="B42" s="202"/>
      <c r="C42" s="202">
        <v>4</v>
      </c>
      <c r="D42" s="227">
        <f>12.2</f>
        <v>12.2</v>
      </c>
      <c r="E42" s="339">
        <f t="shared" si="1"/>
        <v>48.8</v>
      </c>
      <c r="G42" s="1"/>
    </row>
    <row r="43" spans="1:7" ht="14.1" customHeight="1" x14ac:dyDescent="0.25">
      <c r="A43" s="229" t="s">
        <v>125</v>
      </c>
      <c r="B43" s="230"/>
      <c r="C43" s="230">
        <v>0</v>
      </c>
      <c r="D43" s="231">
        <f>6.95</f>
        <v>6.95</v>
      </c>
      <c r="E43" s="339">
        <f t="shared" si="1"/>
        <v>0</v>
      </c>
      <c r="G43" s="1"/>
    </row>
    <row r="44" spans="1:7" ht="14.1" customHeight="1" x14ac:dyDescent="0.25">
      <c r="A44" s="229" t="s">
        <v>126</v>
      </c>
      <c r="B44" s="230"/>
      <c r="C44" s="230">
        <v>10</v>
      </c>
      <c r="D44" s="231">
        <f>21.2</f>
        <v>21.2</v>
      </c>
      <c r="E44" s="339">
        <f t="shared" si="1"/>
        <v>212</v>
      </c>
      <c r="G44" s="1"/>
    </row>
    <row r="45" spans="1:7" ht="14.1" customHeight="1" x14ac:dyDescent="0.25">
      <c r="A45" s="229" t="s">
        <v>115</v>
      </c>
      <c r="B45" s="230"/>
      <c r="C45" s="230">
        <v>6</v>
      </c>
      <c r="D45" s="231">
        <v>350</v>
      </c>
      <c r="E45" s="339">
        <f t="shared" si="1"/>
        <v>2100</v>
      </c>
      <c r="G45" s="1"/>
    </row>
    <row r="46" spans="1:7" ht="14.1" customHeight="1" x14ac:dyDescent="0.25">
      <c r="A46" s="229" t="s">
        <v>127</v>
      </c>
      <c r="B46" s="230"/>
      <c r="C46" s="230">
        <v>5</v>
      </c>
      <c r="D46" s="231">
        <v>10</v>
      </c>
      <c r="E46" s="339">
        <f t="shared" si="1"/>
        <v>50</v>
      </c>
      <c r="G46" s="1"/>
    </row>
    <row r="47" spans="1:7" ht="13.5" customHeight="1" x14ac:dyDescent="0.25">
      <c r="A47" s="204" t="s">
        <v>9</v>
      </c>
      <c r="B47" s="202"/>
      <c r="C47" s="202">
        <v>40</v>
      </c>
      <c r="D47" s="203">
        <v>14</v>
      </c>
      <c r="E47" s="339">
        <f t="shared" si="1"/>
        <v>560</v>
      </c>
      <c r="G47" s="1"/>
    </row>
    <row r="48" spans="1:7" ht="13.5" customHeight="1" x14ac:dyDescent="0.25">
      <c r="A48" s="204" t="s">
        <v>323</v>
      </c>
      <c r="B48" s="202"/>
      <c r="C48" s="202">
        <v>40</v>
      </c>
      <c r="D48" s="203">
        <v>30</v>
      </c>
      <c r="E48" s="339">
        <f t="shared" si="1"/>
        <v>1200</v>
      </c>
      <c r="G48" s="1"/>
    </row>
    <row r="49" spans="1:7" ht="13.5" customHeight="1" x14ac:dyDescent="0.25">
      <c r="A49" s="596" t="s">
        <v>570</v>
      </c>
      <c r="B49" s="233"/>
      <c r="C49" s="233">
        <v>40</v>
      </c>
      <c r="D49" s="234">
        <v>32</v>
      </c>
      <c r="E49" s="597">
        <f t="shared" si="1"/>
        <v>1280</v>
      </c>
      <c r="G49" s="1"/>
    </row>
    <row r="50" spans="1:7" ht="13.5" customHeight="1" x14ac:dyDescent="0.25">
      <c r="A50" s="232"/>
      <c r="B50" s="233"/>
      <c r="C50" s="233"/>
      <c r="D50" s="234"/>
      <c r="E50" s="242">
        <f>SUM(E40:E49)</f>
        <v>5450.8</v>
      </c>
      <c r="G50" s="1"/>
    </row>
    <row r="51" spans="1:7" ht="13.5" customHeight="1" x14ac:dyDescent="0.25">
      <c r="A51" s="232"/>
      <c r="B51" s="233"/>
      <c r="C51" s="233"/>
      <c r="D51" s="234"/>
      <c r="E51" s="242"/>
      <c r="G51" s="1"/>
    </row>
    <row r="52" spans="1:7" ht="30" customHeight="1" x14ac:dyDescent="0.25">
      <c r="A52" s="235" t="s">
        <v>87</v>
      </c>
      <c r="B52" s="236"/>
      <c r="C52" s="236"/>
      <c r="D52" s="206"/>
      <c r="E52" s="237">
        <f>E10+E18+E26+E30+E37+E50+E51</f>
        <v>22069.3</v>
      </c>
      <c r="G52" s="1"/>
    </row>
    <row r="53" spans="1:7" ht="18.75" customHeight="1" x14ac:dyDescent="0.2">
      <c r="C53" s="1"/>
      <c r="D53" s="1"/>
      <c r="G53" s="1"/>
    </row>
    <row r="54" spans="1:7" ht="18.75" customHeight="1" x14ac:dyDescent="0.2">
      <c r="C54" s="1"/>
      <c r="D54" s="1"/>
      <c r="G54" s="1"/>
    </row>
    <row r="55" spans="1:7" ht="18.75" customHeight="1" x14ac:dyDescent="0.2">
      <c r="C55" s="1"/>
      <c r="D55" s="1"/>
      <c r="G55" s="1"/>
    </row>
    <row r="56" spans="1:7" ht="18.75" customHeight="1" x14ac:dyDescent="0.2">
      <c r="C56" s="1"/>
      <c r="D56" s="1"/>
      <c r="G56" s="1"/>
    </row>
    <row r="57" spans="1:7" ht="18.75" customHeight="1" x14ac:dyDescent="0.2">
      <c r="C57" s="1"/>
      <c r="D57" s="1"/>
      <c r="G57" s="1"/>
    </row>
    <row r="58" spans="1:7" ht="18.75" customHeight="1" x14ac:dyDescent="0.2">
      <c r="C58" s="1"/>
      <c r="D58" s="1"/>
      <c r="G58" s="1"/>
    </row>
    <row r="59" spans="1:7" ht="18.75" customHeight="1" x14ac:dyDescent="0.2">
      <c r="C59" s="1"/>
      <c r="D59" s="1"/>
      <c r="G59" s="1"/>
    </row>
    <row r="60" spans="1:7" ht="18.75" customHeight="1" x14ac:dyDescent="0.2">
      <c r="C60" s="1"/>
      <c r="D60" s="1"/>
      <c r="G60" s="1"/>
    </row>
    <row r="61" spans="1:7" ht="18.75" customHeight="1" x14ac:dyDescent="0.2">
      <c r="C61" s="1"/>
      <c r="D61" s="1"/>
      <c r="G61" s="1"/>
    </row>
    <row r="62" spans="1:7" ht="18.75" customHeight="1" x14ac:dyDescent="0.2">
      <c r="C62" s="1"/>
      <c r="D62" s="1"/>
      <c r="G62" s="1"/>
    </row>
    <row r="63" spans="1:7" ht="18.75" customHeight="1" x14ac:dyDescent="0.2">
      <c r="C63" s="1"/>
      <c r="D63" s="1"/>
      <c r="G63" s="1"/>
    </row>
    <row r="64" spans="1:7" ht="18.75" customHeight="1" x14ac:dyDescent="0.2">
      <c r="C64" s="1"/>
      <c r="D64" s="1"/>
      <c r="G64" s="1"/>
    </row>
    <row r="65" spans="6:6" s="1" customFormat="1" ht="18.75" customHeight="1" x14ac:dyDescent="0.2">
      <c r="F65"/>
    </row>
    <row r="66" spans="6:6" s="1" customFormat="1" ht="18.75" customHeight="1" x14ac:dyDescent="0.2">
      <c r="F66"/>
    </row>
    <row r="67" spans="6:6" s="1" customFormat="1" ht="18.75" customHeight="1" x14ac:dyDescent="0.2">
      <c r="F67"/>
    </row>
    <row r="68" spans="6:6" s="1" customFormat="1" ht="18.75" customHeight="1" x14ac:dyDescent="0.2">
      <c r="F68"/>
    </row>
    <row r="69" spans="6:6" s="1" customFormat="1" ht="18.75" customHeight="1" x14ac:dyDescent="0.2">
      <c r="F69"/>
    </row>
    <row r="70" spans="6:6" s="1" customFormat="1" ht="18.75" customHeight="1" x14ac:dyDescent="0.2">
      <c r="F70"/>
    </row>
    <row r="71" spans="6:6" s="1" customFormat="1" ht="18.75" customHeight="1" x14ac:dyDescent="0.2">
      <c r="F71"/>
    </row>
    <row r="72" spans="6:6" s="1" customFormat="1" ht="18.75" customHeight="1" x14ac:dyDescent="0.2">
      <c r="F72"/>
    </row>
    <row r="73" spans="6:6" s="1" customFormat="1" ht="18.75" customHeight="1" x14ac:dyDescent="0.2">
      <c r="F73"/>
    </row>
    <row r="74" spans="6:6" s="1" customFormat="1" ht="18.75" customHeight="1" x14ac:dyDescent="0.2">
      <c r="F74"/>
    </row>
    <row r="75" spans="6:6" s="1" customFormat="1" ht="18.75" customHeight="1" x14ac:dyDescent="0.2">
      <c r="F75"/>
    </row>
    <row r="76" spans="6:6" s="1" customFormat="1" ht="18.75" customHeight="1" x14ac:dyDescent="0.2">
      <c r="F76"/>
    </row>
    <row r="77" spans="6:6" s="1" customFormat="1" ht="18.75" customHeight="1" x14ac:dyDescent="0.2">
      <c r="F77"/>
    </row>
    <row r="78" spans="6:6" s="1" customFormat="1" ht="18.75" customHeight="1" x14ac:dyDescent="0.2">
      <c r="F78"/>
    </row>
    <row r="79" spans="6:6" s="1" customFormat="1" ht="18.75" customHeight="1" x14ac:dyDescent="0.2">
      <c r="F79"/>
    </row>
    <row r="80" spans="6:6" s="1" customFormat="1" ht="18.75" customHeight="1" x14ac:dyDescent="0.2">
      <c r="F80"/>
    </row>
    <row r="81" spans="6:6" s="1" customFormat="1" ht="18.75" customHeight="1" x14ac:dyDescent="0.2">
      <c r="F81"/>
    </row>
    <row r="82" spans="6:6" s="1" customFormat="1" ht="18.75" customHeight="1" x14ac:dyDescent="0.2">
      <c r="F82"/>
    </row>
    <row r="83" spans="6:6" s="1" customFormat="1" ht="18.75" customHeight="1" x14ac:dyDescent="0.2">
      <c r="F83"/>
    </row>
    <row r="84" spans="6:6" s="1" customFormat="1" ht="18.75" customHeight="1" x14ac:dyDescent="0.2">
      <c r="F84"/>
    </row>
    <row r="85" spans="6:6" s="1" customFormat="1" ht="18.75" customHeight="1" x14ac:dyDescent="0.2">
      <c r="F85"/>
    </row>
    <row r="86" spans="6:6" s="1" customFormat="1" ht="18.75" customHeight="1" x14ac:dyDescent="0.2">
      <c r="F86"/>
    </row>
    <row r="87" spans="6:6" s="1" customFormat="1" ht="18.75" customHeight="1" x14ac:dyDescent="0.2">
      <c r="F87"/>
    </row>
    <row r="88" spans="6:6" s="1" customFormat="1" ht="18.75" customHeight="1" x14ac:dyDescent="0.2">
      <c r="F88"/>
    </row>
    <row r="89" spans="6:6" s="1" customFormat="1" ht="18.75" customHeight="1" x14ac:dyDescent="0.2">
      <c r="F89"/>
    </row>
    <row r="90" spans="6:6" s="1" customFormat="1" ht="18.75" customHeight="1" x14ac:dyDescent="0.2">
      <c r="F90"/>
    </row>
    <row r="91" spans="6:6" s="1" customFormat="1" ht="18.75" customHeight="1" x14ac:dyDescent="0.2">
      <c r="F91"/>
    </row>
    <row r="92" spans="6:6" s="1" customFormat="1" ht="18.75" customHeight="1" x14ac:dyDescent="0.2">
      <c r="F92"/>
    </row>
    <row r="93" spans="6:6" s="1" customFormat="1" ht="18.75" customHeight="1" x14ac:dyDescent="0.2">
      <c r="F93"/>
    </row>
    <row r="94" spans="6:6" s="1" customFormat="1" ht="18.75" customHeight="1" x14ac:dyDescent="0.2">
      <c r="F94"/>
    </row>
    <row r="95" spans="6:6" s="1" customFormat="1" ht="18.75" customHeight="1" x14ac:dyDescent="0.2">
      <c r="F95"/>
    </row>
    <row r="96" spans="6:6" s="1" customFormat="1" ht="18.75" customHeight="1" x14ac:dyDescent="0.2">
      <c r="F96"/>
    </row>
    <row r="97" spans="6:6" s="1" customFormat="1" ht="18.75" customHeight="1" x14ac:dyDescent="0.2">
      <c r="F97"/>
    </row>
    <row r="98" spans="6:6" s="1" customFormat="1" ht="18.75" customHeight="1" x14ac:dyDescent="0.2">
      <c r="F98"/>
    </row>
    <row r="99" spans="6:6" s="1" customFormat="1" ht="18.75" customHeight="1" x14ac:dyDescent="0.2">
      <c r="F99"/>
    </row>
    <row r="100" spans="6:6" s="1" customFormat="1" ht="18.75" customHeight="1" x14ac:dyDescent="0.2">
      <c r="F100"/>
    </row>
    <row r="101" spans="6:6" s="1" customFormat="1" ht="18.75" customHeight="1" x14ac:dyDescent="0.2">
      <c r="F101"/>
    </row>
    <row r="102" spans="6:6" s="1" customFormat="1" ht="18.75" customHeight="1" x14ac:dyDescent="0.2">
      <c r="F102"/>
    </row>
    <row r="103" spans="6:6" s="1" customFormat="1" ht="18.75" customHeight="1" x14ac:dyDescent="0.2">
      <c r="F103"/>
    </row>
    <row r="104" spans="6:6" s="1" customFormat="1" ht="18.75" customHeight="1" x14ac:dyDescent="0.2">
      <c r="F104"/>
    </row>
    <row r="105" spans="6:6" s="1" customFormat="1" ht="18.75" customHeight="1" x14ac:dyDescent="0.2">
      <c r="F105"/>
    </row>
    <row r="106" spans="6:6" s="1" customFormat="1" ht="18.75" customHeight="1" x14ac:dyDescent="0.2">
      <c r="F106"/>
    </row>
    <row r="107" spans="6:6" s="1" customFormat="1" ht="18.75" customHeight="1" x14ac:dyDescent="0.2">
      <c r="F107"/>
    </row>
    <row r="108" spans="6:6" s="1" customFormat="1" ht="18.75" customHeight="1" x14ac:dyDescent="0.2">
      <c r="F108"/>
    </row>
    <row r="109" spans="6:6" s="1" customFormat="1" ht="18.75" customHeight="1" x14ac:dyDescent="0.2">
      <c r="F109"/>
    </row>
    <row r="110" spans="6:6" s="1" customFormat="1" ht="18.75" customHeight="1" x14ac:dyDescent="0.2">
      <c r="F110"/>
    </row>
    <row r="111" spans="6:6" s="1" customFormat="1" ht="18.75" customHeight="1" x14ac:dyDescent="0.2">
      <c r="F111"/>
    </row>
    <row r="112" spans="6:6" s="1" customFormat="1" ht="18.75" customHeight="1" x14ac:dyDescent="0.2">
      <c r="F112"/>
    </row>
    <row r="113" spans="6:6" s="1" customFormat="1" ht="18.75" customHeight="1" x14ac:dyDescent="0.2">
      <c r="F113"/>
    </row>
    <row r="114" spans="6:6" s="1" customFormat="1" ht="18.75" customHeight="1" x14ac:dyDescent="0.2">
      <c r="F114"/>
    </row>
    <row r="115" spans="6:6" s="1" customFormat="1" ht="18.75" customHeight="1" x14ac:dyDescent="0.2">
      <c r="F115"/>
    </row>
    <row r="116" spans="6:6" s="1" customFormat="1" ht="18.75" customHeight="1" x14ac:dyDescent="0.2">
      <c r="F116"/>
    </row>
    <row r="117" spans="6:6" s="1" customFormat="1" ht="18.75" customHeight="1" x14ac:dyDescent="0.2">
      <c r="F117"/>
    </row>
    <row r="118" spans="6:6" s="1" customFormat="1" ht="18.75" customHeight="1" x14ac:dyDescent="0.2">
      <c r="F118"/>
    </row>
    <row r="119" spans="6:6" s="1" customFormat="1" ht="18.75" customHeight="1" x14ac:dyDescent="0.2">
      <c r="F119"/>
    </row>
    <row r="120" spans="6:6" s="1" customFormat="1" ht="18.75" customHeight="1" x14ac:dyDescent="0.2">
      <c r="F120"/>
    </row>
    <row r="121" spans="6:6" s="1" customFormat="1" ht="18.75" customHeight="1" x14ac:dyDescent="0.2">
      <c r="F121"/>
    </row>
    <row r="122" spans="6:6" s="1" customFormat="1" ht="18.75" customHeight="1" x14ac:dyDescent="0.2">
      <c r="F122"/>
    </row>
    <row r="123" spans="6:6" s="1" customFormat="1" ht="18.75" customHeight="1" x14ac:dyDescent="0.2">
      <c r="F123"/>
    </row>
    <row r="124" spans="6:6" s="1" customFormat="1" ht="18.75" customHeight="1" x14ac:dyDescent="0.2">
      <c r="F124"/>
    </row>
    <row r="125" spans="6:6" s="1" customFormat="1" ht="18.75" customHeight="1" x14ac:dyDescent="0.2">
      <c r="F125"/>
    </row>
    <row r="126" spans="6:6" s="1" customFormat="1" ht="18.75" customHeight="1" x14ac:dyDescent="0.2">
      <c r="F126"/>
    </row>
    <row r="127" spans="6:6" s="1" customFormat="1" ht="18.75" customHeight="1" x14ac:dyDescent="0.2">
      <c r="F127"/>
    </row>
    <row r="128" spans="6:6" s="1" customFormat="1" ht="18.75" customHeight="1" x14ac:dyDescent="0.2">
      <c r="F128"/>
    </row>
    <row r="129" spans="6:6" s="1" customFormat="1" ht="18.75" customHeight="1" x14ac:dyDescent="0.2">
      <c r="F129"/>
    </row>
    <row r="130" spans="6:6" s="1" customFormat="1" ht="18.75" customHeight="1" x14ac:dyDescent="0.2">
      <c r="F130"/>
    </row>
    <row r="131" spans="6:6" s="1" customFormat="1" ht="18.75" customHeight="1" x14ac:dyDescent="0.2">
      <c r="F131"/>
    </row>
    <row r="132" spans="6:6" s="1" customFormat="1" ht="18.75" customHeight="1" x14ac:dyDescent="0.2">
      <c r="F132"/>
    </row>
    <row r="133" spans="6:6" s="1" customFormat="1" ht="18.75" customHeight="1" x14ac:dyDescent="0.2">
      <c r="F133"/>
    </row>
    <row r="134" spans="6:6" s="1" customFormat="1" ht="18.75" customHeight="1" x14ac:dyDescent="0.2">
      <c r="F134"/>
    </row>
    <row r="135" spans="6:6" s="1" customFormat="1" ht="18.75" customHeight="1" x14ac:dyDescent="0.2">
      <c r="F135"/>
    </row>
    <row r="136" spans="6:6" s="1" customFormat="1" ht="18.75" customHeight="1" x14ac:dyDescent="0.2">
      <c r="F136"/>
    </row>
    <row r="137" spans="6:6" s="1" customFormat="1" ht="18.75" customHeight="1" x14ac:dyDescent="0.2">
      <c r="F137"/>
    </row>
    <row r="138" spans="6:6" s="1" customFormat="1" ht="18.75" customHeight="1" x14ac:dyDescent="0.2">
      <c r="F138"/>
    </row>
    <row r="139" spans="6:6" s="1" customFormat="1" ht="18.75" customHeight="1" x14ac:dyDescent="0.2">
      <c r="F139"/>
    </row>
    <row r="140" spans="6:6" s="1" customFormat="1" ht="18.75" customHeight="1" x14ac:dyDescent="0.2">
      <c r="F140"/>
    </row>
    <row r="141" spans="6:6" s="1" customFormat="1" ht="18.75" customHeight="1" x14ac:dyDescent="0.2">
      <c r="F141"/>
    </row>
    <row r="142" spans="6:6" s="1" customFormat="1" ht="18.75" customHeight="1" x14ac:dyDescent="0.2">
      <c r="F142"/>
    </row>
    <row r="143" spans="6:6" s="1" customFormat="1" ht="18.75" customHeight="1" x14ac:dyDescent="0.2">
      <c r="F143"/>
    </row>
    <row r="144" spans="6:6" s="1" customFormat="1" ht="18.75" customHeight="1" x14ac:dyDescent="0.2">
      <c r="F144"/>
    </row>
    <row r="145" spans="6:6" s="1" customFormat="1" ht="18.75" customHeight="1" x14ac:dyDescent="0.2">
      <c r="F145"/>
    </row>
    <row r="146" spans="6:6" s="1" customFormat="1" ht="18.75" customHeight="1" x14ac:dyDescent="0.2">
      <c r="F146"/>
    </row>
    <row r="147" spans="6:6" s="1" customFormat="1" ht="18.75" customHeight="1" x14ac:dyDescent="0.2">
      <c r="F147"/>
    </row>
    <row r="148" spans="6:6" s="1" customFormat="1" ht="18.75" customHeight="1" x14ac:dyDescent="0.2">
      <c r="F148"/>
    </row>
    <row r="149" spans="6:6" s="1" customFormat="1" ht="18.75" customHeight="1" x14ac:dyDescent="0.2">
      <c r="F149"/>
    </row>
    <row r="150" spans="6:6" s="1" customFormat="1" ht="18.75" customHeight="1" x14ac:dyDescent="0.2">
      <c r="F150"/>
    </row>
    <row r="151" spans="6:6" s="1" customFormat="1" ht="18.75" customHeight="1" x14ac:dyDescent="0.2">
      <c r="F151"/>
    </row>
    <row r="152" spans="6:6" s="1" customFormat="1" ht="18.75" customHeight="1" x14ac:dyDescent="0.2">
      <c r="F152"/>
    </row>
    <row r="153" spans="6:6" s="1" customFormat="1" ht="18.75" customHeight="1" x14ac:dyDescent="0.2">
      <c r="F153"/>
    </row>
    <row r="154" spans="6:6" s="1" customFormat="1" ht="18.75" customHeight="1" x14ac:dyDescent="0.2">
      <c r="F154"/>
    </row>
    <row r="155" spans="6:6" s="1" customFormat="1" ht="18.75" customHeight="1" x14ac:dyDescent="0.2">
      <c r="F155"/>
    </row>
    <row r="156" spans="6:6" s="1" customFormat="1" ht="18.75" customHeight="1" x14ac:dyDescent="0.2">
      <c r="F156"/>
    </row>
    <row r="157" spans="6:6" s="1" customFormat="1" ht="18.75" customHeight="1" x14ac:dyDescent="0.2">
      <c r="F157"/>
    </row>
    <row r="158" spans="6:6" s="1" customFormat="1" ht="18.75" customHeight="1" x14ac:dyDescent="0.2">
      <c r="F158"/>
    </row>
    <row r="159" spans="6:6" s="1" customFormat="1" ht="18.75" customHeight="1" x14ac:dyDescent="0.2">
      <c r="F159"/>
    </row>
    <row r="160" spans="6:6" s="1" customFormat="1" ht="18.75" customHeight="1" x14ac:dyDescent="0.2">
      <c r="F160"/>
    </row>
    <row r="161" spans="6:6" s="1" customFormat="1" ht="18.75" customHeight="1" x14ac:dyDescent="0.2">
      <c r="F161"/>
    </row>
    <row r="162" spans="6:6" s="1" customFormat="1" ht="18.75" customHeight="1" x14ac:dyDescent="0.2">
      <c r="F162"/>
    </row>
    <row r="163" spans="6:6" s="1" customFormat="1" ht="18.75" customHeight="1" x14ac:dyDescent="0.2">
      <c r="F163"/>
    </row>
    <row r="164" spans="6:6" s="1" customFormat="1" ht="18.75" customHeight="1" x14ac:dyDescent="0.2">
      <c r="F164"/>
    </row>
    <row r="165" spans="6:6" s="1" customFormat="1" ht="18.75" customHeight="1" x14ac:dyDescent="0.2">
      <c r="F165"/>
    </row>
    <row r="166" spans="6:6" s="1" customFormat="1" ht="18.75" customHeight="1" x14ac:dyDescent="0.2">
      <c r="F166"/>
    </row>
    <row r="167" spans="6:6" s="1" customFormat="1" ht="18.75" customHeight="1" x14ac:dyDescent="0.2">
      <c r="F167"/>
    </row>
    <row r="168" spans="6:6" s="1" customFormat="1" ht="18.75" customHeight="1" x14ac:dyDescent="0.2">
      <c r="F168"/>
    </row>
    <row r="169" spans="6:6" s="1" customFormat="1" ht="18.75" customHeight="1" x14ac:dyDescent="0.2">
      <c r="F169"/>
    </row>
    <row r="170" spans="6:6" s="1" customFormat="1" ht="18.75" customHeight="1" x14ac:dyDescent="0.2">
      <c r="F170"/>
    </row>
    <row r="171" spans="6:6" s="1" customFormat="1" ht="18.75" customHeight="1" x14ac:dyDescent="0.2">
      <c r="F171"/>
    </row>
    <row r="172" spans="6:6" s="1" customFormat="1" ht="18.75" customHeight="1" x14ac:dyDescent="0.2">
      <c r="F172"/>
    </row>
    <row r="173" spans="6:6" s="1" customFormat="1" ht="18.75" customHeight="1" x14ac:dyDescent="0.2">
      <c r="F173"/>
    </row>
    <row r="174" spans="6:6" s="1" customFormat="1" ht="18.75" customHeight="1" x14ac:dyDescent="0.2">
      <c r="F174"/>
    </row>
    <row r="175" spans="6:6" s="1" customFormat="1" ht="18.75" customHeight="1" x14ac:dyDescent="0.2">
      <c r="F175"/>
    </row>
    <row r="176" spans="6:6" s="1" customFormat="1" ht="18.75" customHeight="1" x14ac:dyDescent="0.2">
      <c r="F176"/>
    </row>
    <row r="177" spans="6:6" s="1" customFormat="1" ht="18.75" customHeight="1" x14ac:dyDescent="0.2">
      <c r="F177"/>
    </row>
    <row r="178" spans="6:6" s="1" customFormat="1" ht="18.75" customHeight="1" x14ac:dyDescent="0.2">
      <c r="F178"/>
    </row>
    <row r="179" spans="6:6" s="1" customFormat="1" ht="18.75" customHeight="1" x14ac:dyDescent="0.2">
      <c r="F179"/>
    </row>
    <row r="180" spans="6:6" s="1" customFormat="1" ht="18.75" customHeight="1" x14ac:dyDescent="0.2">
      <c r="F180"/>
    </row>
    <row r="181" spans="6:6" s="1" customFormat="1" ht="18.75" customHeight="1" x14ac:dyDescent="0.2">
      <c r="F181"/>
    </row>
    <row r="182" spans="6:6" s="1" customFormat="1" ht="18.75" customHeight="1" x14ac:dyDescent="0.2">
      <c r="F182"/>
    </row>
    <row r="183" spans="6:6" s="1" customFormat="1" ht="18.75" customHeight="1" x14ac:dyDescent="0.2">
      <c r="F183"/>
    </row>
    <row r="184" spans="6:6" s="1" customFormat="1" ht="18.75" customHeight="1" x14ac:dyDescent="0.2">
      <c r="F184"/>
    </row>
  </sheetData>
  <mergeCells count="1">
    <mergeCell ref="A1:E1"/>
  </mergeCells>
  <phoneticPr fontId="21" type="noConversion"/>
  <printOptions horizontalCentered="1"/>
  <pageMargins left="0.75" right="0.75" top="0.75" bottom="0.75" header="0.5" footer="0.5"/>
  <pageSetup scale="92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3"/>
  <sheetViews>
    <sheetView workbookViewId="0"/>
  </sheetViews>
  <sheetFormatPr defaultColWidth="9.140625" defaultRowHeight="16.5" x14ac:dyDescent="0.3"/>
  <cols>
    <col min="1" max="1" width="40.140625" style="18" bestFit="1" customWidth="1"/>
    <col min="2" max="4" width="10.7109375" style="18" hidden="1" customWidth="1"/>
    <col min="5" max="8" width="11.28515625" style="18" hidden="1" customWidth="1"/>
    <col min="9" max="12" width="0" style="18" hidden="1" customWidth="1"/>
    <col min="13" max="13" width="9.140625" style="18"/>
    <col min="14" max="15" width="9.5703125" style="18" bestFit="1" customWidth="1"/>
    <col min="16" max="16384" width="9.140625" style="18"/>
  </cols>
  <sheetData>
    <row r="1" spans="1:15" ht="22.5" customHeight="1" x14ac:dyDescent="0.3">
      <c r="A1" s="351" t="s">
        <v>39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x14ac:dyDescent="0.3">
      <c r="A2" s="221"/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</row>
    <row r="3" spans="1:15" x14ac:dyDescent="0.3">
      <c r="A3" s="221"/>
      <c r="B3" s="31"/>
      <c r="C3" s="31"/>
      <c r="D3" s="31"/>
      <c r="E3" s="31"/>
      <c r="F3" s="434"/>
      <c r="G3" s="434"/>
      <c r="H3" s="434"/>
      <c r="I3" s="434"/>
      <c r="J3" s="434"/>
      <c r="K3" s="434"/>
      <c r="L3" s="434"/>
      <c r="M3" s="434"/>
      <c r="N3" s="434"/>
      <c r="O3" s="434"/>
    </row>
    <row r="4" spans="1:15" x14ac:dyDescent="0.3">
      <c r="A4" s="28" t="s">
        <v>573</v>
      </c>
      <c r="B4" s="38">
        <v>200</v>
      </c>
      <c r="C4" s="39">
        <v>100</v>
      </c>
      <c r="D4" s="39">
        <v>100</v>
      </c>
      <c r="E4" s="39">
        <v>100</v>
      </c>
      <c r="F4" s="446">
        <v>100</v>
      </c>
      <c r="G4" s="446">
        <v>100</v>
      </c>
      <c r="H4" s="446">
        <v>100</v>
      </c>
      <c r="I4" s="446">
        <v>200</v>
      </c>
      <c r="J4" s="446">
        <v>200</v>
      </c>
      <c r="K4" s="446">
        <v>200</v>
      </c>
      <c r="L4" s="446">
        <v>200</v>
      </c>
      <c r="M4" s="446">
        <v>200</v>
      </c>
      <c r="N4" s="446">
        <v>200</v>
      </c>
      <c r="O4" s="446">
        <v>200</v>
      </c>
    </row>
    <row r="5" spans="1:15" x14ac:dyDescent="0.3">
      <c r="A5" s="28" t="s">
        <v>682</v>
      </c>
      <c r="B5" s="39">
        <v>4000</v>
      </c>
      <c r="C5" s="75">
        <v>5000</v>
      </c>
      <c r="D5" s="75">
        <v>5400</v>
      </c>
      <c r="E5" s="75">
        <f>5400+1800</f>
        <v>7200</v>
      </c>
      <c r="F5" s="439">
        <f>5400+2000</f>
        <v>7400</v>
      </c>
      <c r="G5" s="439">
        <f>5400+2000</f>
        <v>7400</v>
      </c>
      <c r="H5" s="439">
        <f>5400+4000+2000</f>
        <v>11400</v>
      </c>
      <c r="I5" s="439">
        <f t="shared" ref="I5:M5" si="0">5400+4000+3000</f>
        <v>12400</v>
      </c>
      <c r="J5" s="439">
        <f t="shared" si="0"/>
        <v>12400</v>
      </c>
      <c r="K5" s="439">
        <f t="shared" si="0"/>
        <v>12400</v>
      </c>
      <c r="L5" s="439">
        <f t="shared" si="0"/>
        <v>12400</v>
      </c>
      <c r="M5" s="439">
        <f t="shared" si="0"/>
        <v>12400</v>
      </c>
      <c r="N5" s="439">
        <f>5600+4200+3200+2000</f>
        <v>15000</v>
      </c>
      <c r="O5" s="439">
        <f>5600+4200+3200+2000</f>
        <v>15000</v>
      </c>
    </row>
    <row r="6" spans="1:15" x14ac:dyDescent="0.3">
      <c r="A6" s="28" t="s">
        <v>350</v>
      </c>
      <c r="B6" s="38">
        <v>1500</v>
      </c>
      <c r="C6" s="39">
        <v>400</v>
      </c>
      <c r="D6" s="39">
        <v>400</v>
      </c>
      <c r="E6" s="39">
        <v>400</v>
      </c>
      <c r="F6" s="446">
        <v>600</v>
      </c>
      <c r="G6" s="446">
        <v>800</v>
      </c>
      <c r="H6" s="446">
        <v>800</v>
      </c>
      <c r="I6" s="446">
        <v>500</v>
      </c>
      <c r="J6" s="446">
        <v>500</v>
      </c>
      <c r="K6" s="446">
        <v>500</v>
      </c>
      <c r="L6" s="446">
        <v>500</v>
      </c>
      <c r="M6" s="446">
        <v>500</v>
      </c>
      <c r="N6" s="446">
        <v>1000</v>
      </c>
      <c r="O6" s="446">
        <v>1000</v>
      </c>
    </row>
    <row r="7" spans="1:15" x14ac:dyDescent="0.3">
      <c r="A7" s="28" t="s">
        <v>574</v>
      </c>
      <c r="B7" s="38">
        <v>600</v>
      </c>
      <c r="C7" s="39">
        <v>300</v>
      </c>
      <c r="D7" s="39">
        <v>300</v>
      </c>
      <c r="E7" s="39">
        <v>350</v>
      </c>
      <c r="F7" s="446">
        <v>400</v>
      </c>
      <c r="G7" s="446">
        <v>400</v>
      </c>
      <c r="H7" s="446">
        <v>400</v>
      </c>
      <c r="I7" s="446">
        <v>300</v>
      </c>
      <c r="J7" s="446">
        <v>300</v>
      </c>
      <c r="K7" s="446">
        <v>300</v>
      </c>
      <c r="L7" s="446">
        <v>300</v>
      </c>
      <c r="M7" s="446">
        <v>300</v>
      </c>
      <c r="N7" s="446">
        <v>300</v>
      </c>
      <c r="O7" s="446">
        <v>300</v>
      </c>
    </row>
    <row r="8" spans="1:15" x14ac:dyDescent="0.3">
      <c r="A8" s="29" t="s">
        <v>575</v>
      </c>
      <c r="B8" s="38">
        <v>800</v>
      </c>
      <c r="C8" s="38">
        <v>800</v>
      </c>
      <c r="D8" s="38">
        <f>8*250</f>
        <v>2000</v>
      </c>
      <c r="E8" s="38">
        <v>2000</v>
      </c>
      <c r="F8" s="447">
        <v>2000</v>
      </c>
      <c r="G8" s="447">
        <v>2000</v>
      </c>
      <c r="H8" s="447">
        <v>2000</v>
      </c>
      <c r="I8" s="447">
        <v>2500</v>
      </c>
      <c r="J8" s="447">
        <v>2500</v>
      </c>
      <c r="K8" s="447">
        <v>2500</v>
      </c>
      <c r="L8" s="447">
        <v>1200</v>
      </c>
      <c r="M8" s="447">
        <v>1200</v>
      </c>
      <c r="N8" s="447">
        <v>2000</v>
      </c>
      <c r="O8" s="450">
        <v>2000</v>
      </c>
    </row>
    <row r="9" spans="1:15" x14ac:dyDescent="0.3">
      <c r="A9" s="28" t="s">
        <v>576</v>
      </c>
      <c r="B9" s="38">
        <v>1000</v>
      </c>
      <c r="C9" s="39">
        <v>500</v>
      </c>
      <c r="D9" s="39">
        <v>500</v>
      </c>
      <c r="E9" s="39">
        <v>600</v>
      </c>
      <c r="F9" s="446">
        <v>600</v>
      </c>
      <c r="G9" s="446">
        <v>1200</v>
      </c>
      <c r="H9" s="446">
        <v>1200</v>
      </c>
      <c r="I9" s="446">
        <v>1400</v>
      </c>
      <c r="J9" s="446">
        <f>91*60</f>
        <v>5460</v>
      </c>
      <c r="K9" s="446">
        <f>91*30</f>
        <v>2730</v>
      </c>
      <c r="L9" s="446">
        <f>91*30</f>
        <v>2730</v>
      </c>
      <c r="M9" s="446">
        <v>2000</v>
      </c>
      <c r="N9" s="446">
        <v>2200</v>
      </c>
      <c r="O9" s="439">
        <v>2200</v>
      </c>
    </row>
    <row r="10" spans="1:15" x14ac:dyDescent="0.3">
      <c r="A10" s="29" t="s">
        <v>351</v>
      </c>
      <c r="B10" s="38">
        <v>11000</v>
      </c>
      <c r="C10" s="38">
        <v>10400</v>
      </c>
      <c r="D10" s="38">
        <f>8*1500</f>
        <v>12000</v>
      </c>
      <c r="E10" s="38">
        <f>1478.25*8</f>
        <v>11826</v>
      </c>
      <c r="F10" s="447">
        <f>1500*8</f>
        <v>12000</v>
      </c>
      <c r="G10" s="447">
        <f>1500*35</f>
        <v>52500</v>
      </c>
      <c r="H10" s="447">
        <f>1500*5</f>
        <v>7500</v>
      </c>
      <c r="I10" s="447">
        <f>1600*6</f>
        <v>9600</v>
      </c>
      <c r="J10" s="447">
        <f>1500*6</f>
        <v>9000</v>
      </c>
      <c r="K10" s="447">
        <f>1500*6</f>
        <v>9000</v>
      </c>
      <c r="L10" s="447">
        <f>1500*6</f>
        <v>9000</v>
      </c>
      <c r="M10" s="447">
        <v>9600</v>
      </c>
      <c r="N10" s="447">
        <v>14000</v>
      </c>
      <c r="O10" s="450">
        <v>14000</v>
      </c>
    </row>
    <row r="11" spans="1:15" x14ac:dyDescent="0.3">
      <c r="A11" s="28" t="s">
        <v>577</v>
      </c>
      <c r="B11" s="39">
        <v>1200</v>
      </c>
      <c r="C11" s="39">
        <v>1500</v>
      </c>
      <c r="D11" s="39">
        <v>1500</v>
      </c>
      <c r="E11" s="39">
        <v>1500</v>
      </c>
      <c r="F11" s="446">
        <v>1500</v>
      </c>
      <c r="G11" s="446">
        <v>2500</v>
      </c>
      <c r="H11" s="446">
        <v>2500</v>
      </c>
      <c r="I11" s="446">
        <v>2500</v>
      </c>
      <c r="J11" s="446">
        <v>2500</v>
      </c>
      <c r="K11" s="446">
        <v>2500</v>
      </c>
      <c r="L11" s="446">
        <v>2500</v>
      </c>
      <c r="M11" s="446">
        <v>2600</v>
      </c>
      <c r="N11" s="446">
        <v>3200</v>
      </c>
      <c r="O11" s="439">
        <f>190*40</f>
        <v>7600</v>
      </c>
    </row>
    <row r="12" spans="1:15" x14ac:dyDescent="0.3">
      <c r="A12" s="29" t="s">
        <v>352</v>
      </c>
      <c r="B12" s="38">
        <v>11000</v>
      </c>
      <c r="C12" s="38">
        <v>6800</v>
      </c>
      <c r="D12" s="38">
        <f>8*900</f>
        <v>7200</v>
      </c>
      <c r="E12" s="38">
        <f>930.6*8</f>
        <v>7444.8</v>
      </c>
      <c r="F12" s="447">
        <f>950*8</f>
        <v>7600</v>
      </c>
      <c r="G12" s="447">
        <f>900*35</f>
        <v>31500</v>
      </c>
      <c r="H12" s="447">
        <f>900*5</f>
        <v>4500</v>
      </c>
      <c r="I12" s="447">
        <f>1000*6</f>
        <v>6000</v>
      </c>
      <c r="J12" s="447">
        <f>900*6</f>
        <v>5400</v>
      </c>
      <c r="K12" s="447">
        <f>900*6</f>
        <v>5400</v>
      </c>
      <c r="L12" s="447">
        <f>900*6</f>
        <v>5400</v>
      </c>
      <c r="M12" s="447">
        <f>900*6</f>
        <v>5400</v>
      </c>
      <c r="N12" s="447">
        <v>10000</v>
      </c>
      <c r="O12" s="450">
        <v>10000</v>
      </c>
    </row>
    <row r="13" spans="1:15" hidden="1" x14ac:dyDescent="0.3">
      <c r="A13" s="28" t="s">
        <v>578</v>
      </c>
      <c r="B13" s="38">
        <v>400</v>
      </c>
      <c r="C13" s="39">
        <v>200</v>
      </c>
      <c r="D13" s="39">
        <v>200</v>
      </c>
      <c r="E13" s="39">
        <v>100</v>
      </c>
      <c r="F13" s="446">
        <v>150</v>
      </c>
      <c r="G13" s="446">
        <v>150</v>
      </c>
      <c r="H13" s="446">
        <v>150</v>
      </c>
      <c r="I13" s="446">
        <v>300</v>
      </c>
      <c r="J13" s="446">
        <v>300</v>
      </c>
      <c r="K13" s="446">
        <v>300</v>
      </c>
      <c r="L13" s="446">
        <v>0</v>
      </c>
      <c r="M13" s="446">
        <v>0</v>
      </c>
      <c r="N13" s="446">
        <v>0</v>
      </c>
      <c r="O13" s="439">
        <v>0</v>
      </c>
    </row>
    <row r="14" spans="1:15" x14ac:dyDescent="0.3">
      <c r="A14" s="28" t="s">
        <v>353</v>
      </c>
      <c r="B14" s="46">
        <v>200</v>
      </c>
      <c r="C14" s="39">
        <v>400</v>
      </c>
      <c r="D14" s="39">
        <f>15*40</f>
        <v>600</v>
      </c>
      <c r="E14" s="39">
        <v>600</v>
      </c>
      <c r="F14" s="446">
        <v>600</v>
      </c>
      <c r="G14" s="446">
        <v>600</v>
      </c>
      <c r="H14" s="446">
        <v>600</v>
      </c>
      <c r="I14" s="446">
        <v>600</v>
      </c>
      <c r="J14" s="446">
        <v>600</v>
      </c>
      <c r="K14" s="446">
        <v>600</v>
      </c>
      <c r="L14" s="446">
        <v>600</v>
      </c>
      <c r="M14" s="446">
        <v>600</v>
      </c>
      <c r="N14" s="446">
        <v>600</v>
      </c>
      <c r="O14" s="439">
        <v>600</v>
      </c>
    </row>
    <row r="15" spans="1:15" x14ac:dyDescent="0.3">
      <c r="A15" s="29" t="s">
        <v>354</v>
      </c>
      <c r="B15" s="38">
        <v>250</v>
      </c>
      <c r="C15" s="38">
        <v>500</v>
      </c>
      <c r="D15" s="38">
        <f>15*40.3</f>
        <v>604.5</v>
      </c>
      <c r="E15" s="38">
        <f>40.3*15</f>
        <v>604.5</v>
      </c>
      <c r="F15" s="447">
        <f>42*15</f>
        <v>630</v>
      </c>
      <c r="G15" s="447">
        <f>50*15</f>
        <v>750</v>
      </c>
      <c r="H15" s="447">
        <f>50*15</f>
        <v>750</v>
      </c>
      <c r="I15" s="447">
        <f>90*10</f>
        <v>900</v>
      </c>
      <c r="J15" s="447">
        <f>90*10</f>
        <v>900</v>
      </c>
      <c r="K15" s="447">
        <f>90*10</f>
        <v>900</v>
      </c>
      <c r="L15" s="447">
        <f>90*10</f>
        <v>900</v>
      </c>
      <c r="M15" s="447">
        <v>1000</v>
      </c>
      <c r="N15" s="447">
        <v>1500</v>
      </c>
      <c r="O15" s="450">
        <v>1500</v>
      </c>
    </row>
    <row r="16" spans="1:15" x14ac:dyDescent="0.3">
      <c r="A16" s="28" t="s">
        <v>355</v>
      </c>
      <c r="B16" s="46">
        <v>800</v>
      </c>
      <c r="C16" s="39"/>
      <c r="D16" s="39"/>
      <c r="E16" s="39"/>
      <c r="F16" s="446">
        <v>0</v>
      </c>
      <c r="G16" s="446">
        <v>2000</v>
      </c>
      <c r="H16" s="446">
        <v>2000</v>
      </c>
      <c r="I16" s="446">
        <v>2000</v>
      </c>
      <c r="J16" s="446">
        <v>2000</v>
      </c>
      <c r="K16" s="446">
        <v>1000</v>
      </c>
      <c r="L16" s="446">
        <v>600</v>
      </c>
      <c r="M16" s="446">
        <v>800</v>
      </c>
      <c r="N16" s="446">
        <v>1000</v>
      </c>
      <c r="O16" s="446">
        <v>1000</v>
      </c>
    </row>
    <row r="17" spans="1:15" hidden="1" x14ac:dyDescent="0.3">
      <c r="A17" s="29" t="s">
        <v>356</v>
      </c>
      <c r="B17" s="38">
        <v>2000</v>
      </c>
      <c r="C17" s="38">
        <v>2000</v>
      </c>
      <c r="D17" s="38">
        <f>15*101.25</f>
        <v>1518.75</v>
      </c>
      <c r="E17" s="38">
        <f>239*10</f>
        <v>2390</v>
      </c>
      <c r="F17" s="447">
        <f>245*10</f>
        <v>2450</v>
      </c>
      <c r="G17" s="447">
        <f>250*10</f>
        <v>2500</v>
      </c>
      <c r="H17" s="447">
        <f>250*15</f>
        <v>3750</v>
      </c>
      <c r="I17" s="447">
        <v>0</v>
      </c>
      <c r="J17" s="447">
        <v>0</v>
      </c>
      <c r="K17" s="447">
        <v>0</v>
      </c>
      <c r="L17" s="447">
        <v>0</v>
      </c>
      <c r="M17" s="447">
        <v>0</v>
      </c>
      <c r="N17" s="447">
        <v>0</v>
      </c>
      <c r="O17" s="447">
        <v>0</v>
      </c>
    </row>
    <row r="18" spans="1:15" x14ac:dyDescent="0.3">
      <c r="A18" s="28" t="s">
        <v>572</v>
      </c>
      <c r="B18" s="46">
        <v>300</v>
      </c>
      <c r="C18" s="39">
        <v>500</v>
      </c>
      <c r="D18" s="39">
        <v>500</v>
      </c>
      <c r="E18" s="39">
        <v>800</v>
      </c>
      <c r="F18" s="446">
        <v>800</v>
      </c>
      <c r="G18" s="446">
        <v>800</v>
      </c>
      <c r="H18" s="446">
        <v>800</v>
      </c>
      <c r="I18" s="446">
        <v>1000</v>
      </c>
      <c r="J18" s="446">
        <v>1200</v>
      </c>
      <c r="K18" s="446">
        <v>1400</v>
      </c>
      <c r="L18" s="446">
        <v>1400</v>
      </c>
      <c r="M18" s="446">
        <v>1400</v>
      </c>
      <c r="N18" s="446">
        <v>1600</v>
      </c>
      <c r="O18" s="446">
        <v>1600</v>
      </c>
    </row>
    <row r="19" spans="1:15" hidden="1" x14ac:dyDescent="0.3">
      <c r="A19" s="29" t="s">
        <v>357</v>
      </c>
      <c r="B19" s="38">
        <v>2000</v>
      </c>
      <c r="C19" s="38">
        <v>2000</v>
      </c>
      <c r="D19" s="38">
        <f>15*106.3</f>
        <v>1594.5</v>
      </c>
      <c r="E19" s="38">
        <f>216*10</f>
        <v>2160</v>
      </c>
      <c r="F19" s="447">
        <f>216*10</f>
        <v>2160</v>
      </c>
      <c r="G19" s="447">
        <f>220*10</f>
        <v>2200</v>
      </c>
      <c r="H19" s="447">
        <f>220*15</f>
        <v>3300</v>
      </c>
      <c r="I19" s="447">
        <v>0</v>
      </c>
      <c r="J19" s="447">
        <v>0</v>
      </c>
      <c r="K19" s="447">
        <v>0</v>
      </c>
      <c r="L19" s="447">
        <v>0</v>
      </c>
      <c r="M19" s="447">
        <v>0</v>
      </c>
      <c r="N19" s="447">
        <v>0</v>
      </c>
      <c r="O19" s="447">
        <v>0</v>
      </c>
    </row>
    <row r="20" spans="1:15" hidden="1" x14ac:dyDescent="0.3">
      <c r="A20" s="29" t="s">
        <v>604</v>
      </c>
      <c r="B20" s="38"/>
      <c r="C20" s="38"/>
      <c r="D20" s="38"/>
      <c r="E20" s="38"/>
      <c r="F20" s="447"/>
      <c r="G20" s="447"/>
      <c r="H20" s="447"/>
      <c r="I20" s="447"/>
      <c r="J20" s="447">
        <f>132*32</f>
        <v>4224</v>
      </c>
      <c r="K20" s="447">
        <v>0</v>
      </c>
      <c r="L20" s="447">
        <v>0</v>
      </c>
      <c r="M20" s="447"/>
      <c r="N20" s="447"/>
      <c r="O20" s="447"/>
    </row>
    <row r="21" spans="1:15" x14ac:dyDescent="0.3">
      <c r="A21" s="28" t="s">
        <v>358</v>
      </c>
      <c r="B21" s="39">
        <v>200</v>
      </c>
      <c r="C21" s="39">
        <v>500</v>
      </c>
      <c r="D21" s="39">
        <v>500</v>
      </c>
      <c r="E21" s="39">
        <v>500</v>
      </c>
      <c r="F21" s="446">
        <v>400</v>
      </c>
      <c r="G21" s="446">
        <f>85*24</f>
        <v>2040</v>
      </c>
      <c r="H21" s="446">
        <f>85*12</f>
        <v>1020</v>
      </c>
      <c r="I21" s="446">
        <f>85*12</f>
        <v>1020</v>
      </c>
      <c r="J21" s="446">
        <f>85*12</f>
        <v>1020</v>
      </c>
      <c r="K21" s="446">
        <f>85*6</f>
        <v>510</v>
      </c>
      <c r="L21" s="446">
        <f>85*4</f>
        <v>340</v>
      </c>
      <c r="M21" s="446">
        <v>350</v>
      </c>
      <c r="N21" s="446">
        <v>400</v>
      </c>
      <c r="O21" s="446">
        <v>400</v>
      </c>
    </row>
    <row r="22" spans="1:15" x14ac:dyDescent="0.3">
      <c r="A22" s="546" t="s">
        <v>449</v>
      </c>
      <c r="B22" s="72"/>
      <c r="C22" s="72"/>
      <c r="D22" s="72"/>
      <c r="E22" s="72"/>
      <c r="F22" s="467">
        <v>1500</v>
      </c>
      <c r="G22" s="467">
        <v>300</v>
      </c>
      <c r="H22" s="467">
        <v>300</v>
      </c>
      <c r="I22" s="467">
        <v>300</v>
      </c>
      <c r="J22" s="467">
        <v>300</v>
      </c>
      <c r="K22" s="467">
        <v>300</v>
      </c>
      <c r="L22" s="467">
        <v>300</v>
      </c>
      <c r="M22" s="467">
        <v>400</v>
      </c>
      <c r="N22" s="467">
        <v>600</v>
      </c>
      <c r="O22" s="646">
        <f>50*40</f>
        <v>2000</v>
      </c>
    </row>
    <row r="23" spans="1:15" hidden="1" x14ac:dyDescent="0.3">
      <c r="A23" s="546" t="s">
        <v>461</v>
      </c>
      <c r="B23" s="72"/>
      <c r="C23" s="72"/>
      <c r="D23" s="72"/>
      <c r="E23" s="72"/>
      <c r="F23" s="467">
        <v>7500</v>
      </c>
      <c r="G23" s="467">
        <v>0</v>
      </c>
      <c r="H23" s="467"/>
      <c r="I23" s="467"/>
      <c r="J23" s="467"/>
      <c r="K23" s="467"/>
      <c r="L23" s="467"/>
      <c r="M23" s="467"/>
      <c r="N23" s="467"/>
      <c r="O23" s="467"/>
    </row>
    <row r="24" spans="1:15" hidden="1" x14ac:dyDescent="0.3">
      <c r="A24" s="546" t="s">
        <v>602</v>
      </c>
      <c r="B24" s="72"/>
      <c r="C24" s="72"/>
      <c r="D24" s="72"/>
      <c r="E24" s="72"/>
      <c r="F24" s="467"/>
      <c r="G24" s="467"/>
      <c r="H24" s="467"/>
      <c r="I24" s="467"/>
      <c r="J24" s="467">
        <f>90*4</f>
        <v>360</v>
      </c>
      <c r="K24" s="467">
        <v>0</v>
      </c>
      <c r="L24" s="467">
        <v>0</v>
      </c>
      <c r="M24" s="467"/>
      <c r="N24" s="467"/>
      <c r="O24" s="467"/>
    </row>
    <row r="25" spans="1:15" hidden="1" x14ac:dyDescent="0.3">
      <c r="A25" s="546" t="s">
        <v>601</v>
      </c>
      <c r="B25" s="72"/>
      <c r="C25" s="72"/>
      <c r="D25" s="72"/>
      <c r="E25" s="72"/>
      <c r="F25" s="467"/>
      <c r="G25" s="467"/>
      <c r="H25" s="467"/>
      <c r="I25" s="467"/>
      <c r="J25" s="467">
        <f>90*4</f>
        <v>360</v>
      </c>
      <c r="K25" s="467">
        <v>0</v>
      </c>
      <c r="L25" s="467">
        <v>0</v>
      </c>
      <c r="M25" s="467"/>
      <c r="N25" s="467"/>
      <c r="O25" s="467"/>
    </row>
    <row r="26" spans="1:15" x14ac:dyDescent="0.3">
      <c r="A26" s="546" t="s">
        <v>503</v>
      </c>
      <c r="B26" s="72"/>
      <c r="C26" s="72"/>
      <c r="D26" s="72"/>
      <c r="E26" s="72"/>
      <c r="F26" s="467"/>
      <c r="G26" s="467"/>
      <c r="H26" s="467"/>
      <c r="I26" s="467">
        <f>(290*5)+(290*5)+(195*2)</f>
        <v>3290</v>
      </c>
      <c r="J26" s="467">
        <f>(290*5)+(290*5)+(195*2)</f>
        <v>3290</v>
      </c>
      <c r="K26" s="467">
        <f>(290*5)+(290*5)+(195*2)</f>
        <v>3290</v>
      </c>
      <c r="L26" s="467">
        <f>(290*5)+(290*5)+(195*2)</f>
        <v>3290</v>
      </c>
      <c r="M26" s="467">
        <f>3500*2</f>
        <v>7000</v>
      </c>
      <c r="N26" s="467">
        <v>8000</v>
      </c>
      <c r="O26" s="646">
        <f>1100*10</f>
        <v>11000</v>
      </c>
    </row>
    <row r="27" spans="1:15" x14ac:dyDescent="0.3">
      <c r="A27" s="546" t="s">
        <v>701</v>
      </c>
      <c r="B27" s="72"/>
      <c r="C27" s="72"/>
      <c r="D27" s="72"/>
      <c r="E27" s="72"/>
      <c r="F27" s="467"/>
      <c r="G27" s="467"/>
      <c r="H27" s="467"/>
      <c r="I27" s="467"/>
      <c r="J27" s="467"/>
      <c r="K27" s="467"/>
      <c r="L27" s="467"/>
      <c r="M27" s="467">
        <f>25000*1</f>
        <v>25000</v>
      </c>
      <c r="N27" s="467">
        <v>0</v>
      </c>
      <c r="O27" s="467">
        <v>0</v>
      </c>
    </row>
    <row r="28" spans="1:15" x14ac:dyDescent="0.3">
      <c r="A28" s="546" t="s">
        <v>762</v>
      </c>
      <c r="B28" s="72"/>
      <c r="C28" s="72"/>
      <c r="D28" s="72"/>
      <c r="E28" s="72"/>
      <c r="F28" s="467"/>
      <c r="G28" s="467"/>
      <c r="H28" s="467"/>
      <c r="I28" s="467"/>
      <c r="J28" s="467"/>
      <c r="K28" s="467"/>
      <c r="L28" s="467"/>
      <c r="M28" s="467">
        <v>0</v>
      </c>
      <c r="N28" s="467">
        <f>(350+700+200+25+75)*40</f>
        <v>54000</v>
      </c>
      <c r="O28" s="467">
        <f>(350+700+200+25+75)*3</f>
        <v>4050</v>
      </c>
    </row>
    <row r="29" spans="1:15" x14ac:dyDescent="0.3">
      <c r="A29" s="546" t="s">
        <v>759</v>
      </c>
      <c r="B29" s="72"/>
      <c r="C29" s="72"/>
      <c r="D29" s="72"/>
      <c r="E29" s="72"/>
      <c r="F29" s="467"/>
      <c r="G29" s="467"/>
      <c r="H29" s="467"/>
      <c r="I29" s="467"/>
      <c r="J29" s="467"/>
      <c r="K29" s="467"/>
      <c r="L29" s="467"/>
      <c r="M29" s="467"/>
      <c r="N29" s="467"/>
      <c r="O29" s="467">
        <f>3000*2</f>
        <v>6000</v>
      </c>
    </row>
    <row r="30" spans="1:15" x14ac:dyDescent="0.3">
      <c r="A30" s="546"/>
      <c r="B30" s="72"/>
      <c r="C30" s="72"/>
      <c r="D30" s="72"/>
      <c r="E30" s="72"/>
      <c r="F30" s="467"/>
      <c r="G30" s="467"/>
      <c r="H30" s="467"/>
      <c r="I30" s="467"/>
      <c r="J30" s="467"/>
      <c r="K30" s="467"/>
      <c r="L30" s="467"/>
      <c r="M30" s="467"/>
      <c r="N30" s="467"/>
      <c r="O30" s="467"/>
    </row>
    <row r="31" spans="1:15" x14ac:dyDescent="0.3">
      <c r="A31" s="164"/>
      <c r="B31" s="547"/>
      <c r="C31" s="305"/>
      <c r="D31" s="305"/>
      <c r="E31" s="305"/>
      <c r="F31" s="396">
        <v>0</v>
      </c>
      <c r="G31" s="396">
        <v>0</v>
      </c>
      <c r="H31" s="396">
        <f>(270*29)+(270*29)+(290*2)+(185*2)</f>
        <v>16610</v>
      </c>
      <c r="I31" s="396"/>
      <c r="J31" s="396"/>
      <c r="K31" s="396"/>
      <c r="L31" s="396"/>
      <c r="M31" s="396"/>
      <c r="N31" s="396"/>
      <c r="O31" s="396"/>
    </row>
    <row r="32" spans="1:15" x14ac:dyDescent="0.3">
      <c r="A32" s="531" t="s">
        <v>140</v>
      </c>
      <c r="B32" s="548">
        <f t="shared" ref="B32:H32" si="1">SUM(B3:B31)</f>
        <v>37450</v>
      </c>
      <c r="C32" s="549">
        <f t="shared" si="1"/>
        <v>31900</v>
      </c>
      <c r="D32" s="550">
        <f t="shared" si="1"/>
        <v>34917.75</v>
      </c>
      <c r="E32" s="550">
        <f t="shared" si="1"/>
        <v>38575.300000000003</v>
      </c>
      <c r="F32" s="551">
        <f t="shared" si="1"/>
        <v>48390</v>
      </c>
      <c r="G32" s="552">
        <f>SUM(G3:G31)</f>
        <v>109740</v>
      </c>
      <c r="H32" s="553">
        <f t="shared" si="1"/>
        <v>59680</v>
      </c>
      <c r="I32" s="553">
        <f t="shared" ref="I32:N32" si="2">SUM(I3:I31)</f>
        <v>44810</v>
      </c>
      <c r="J32" s="553">
        <f t="shared" si="2"/>
        <v>52814</v>
      </c>
      <c r="K32" s="553">
        <f t="shared" si="2"/>
        <v>43830</v>
      </c>
      <c r="L32" s="553">
        <f t="shared" si="2"/>
        <v>41660</v>
      </c>
      <c r="M32" s="553">
        <f t="shared" si="2"/>
        <v>70750</v>
      </c>
      <c r="N32" s="553">
        <f t="shared" si="2"/>
        <v>115600</v>
      </c>
      <c r="O32" s="553">
        <f t="shared" ref="O32" si="3">SUM(O3:O31)</f>
        <v>80450</v>
      </c>
    </row>
    <row r="33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1"/>
  <sheetViews>
    <sheetView workbookViewId="0"/>
  </sheetViews>
  <sheetFormatPr defaultColWidth="9.140625" defaultRowHeight="18.75" customHeight="1" x14ac:dyDescent="0.3"/>
  <cols>
    <col min="1" max="1" width="48.7109375" style="67" bestFit="1" customWidth="1"/>
    <col min="2" max="4" width="10.5703125" style="18" hidden="1" customWidth="1"/>
    <col min="5" max="8" width="10.85546875" style="18" hidden="1" customWidth="1"/>
    <col min="9" max="12" width="0" style="18" hidden="1" customWidth="1"/>
    <col min="13" max="14" width="9.5703125" style="18" bestFit="1" customWidth="1"/>
    <col min="15" max="16384" width="9.140625" style="18"/>
  </cols>
  <sheetData>
    <row r="1" spans="1:15" s="36" customFormat="1" ht="18.95" customHeight="1" x14ac:dyDescent="0.3">
      <c r="A1" s="167" t="s">
        <v>392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18.9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36" customFormat="1" ht="18.9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95" customHeight="1" x14ac:dyDescent="0.3">
      <c r="A4" s="71"/>
      <c r="B4" s="84"/>
      <c r="C4" s="169"/>
      <c r="D4" s="169"/>
      <c r="E4" s="169"/>
      <c r="F4" s="459"/>
      <c r="G4" s="459"/>
      <c r="H4" s="459"/>
      <c r="I4" s="459"/>
      <c r="J4" s="459"/>
      <c r="K4" s="459"/>
      <c r="L4" s="459"/>
      <c r="M4" s="459"/>
      <c r="N4" s="459"/>
      <c r="O4" s="459"/>
    </row>
    <row r="5" spans="1:15" s="36" customFormat="1" ht="18.95" customHeight="1" x14ac:dyDescent="0.3">
      <c r="A5" s="42" t="s">
        <v>588</v>
      </c>
      <c r="B5" s="46">
        <v>200</v>
      </c>
      <c r="C5" s="265">
        <v>900</v>
      </c>
      <c r="D5" s="265">
        <v>800</v>
      </c>
      <c r="E5" s="265">
        <v>800</v>
      </c>
      <c r="F5" s="470">
        <v>800</v>
      </c>
      <c r="G5" s="470">
        <v>1500</v>
      </c>
      <c r="H5" s="470">
        <v>1500</v>
      </c>
      <c r="I5" s="470">
        <v>1500</v>
      </c>
      <c r="J5" s="470">
        <v>1500</v>
      </c>
      <c r="K5" s="470">
        <v>1500</v>
      </c>
      <c r="L5" s="470">
        <v>1500</v>
      </c>
      <c r="M5" s="470">
        <v>1500</v>
      </c>
      <c r="N5" s="470">
        <v>1600</v>
      </c>
      <c r="O5" s="470">
        <v>1500</v>
      </c>
    </row>
    <row r="6" spans="1:15" ht="18.95" customHeight="1" x14ac:dyDescent="0.3">
      <c r="A6" s="42" t="s">
        <v>589</v>
      </c>
      <c r="B6" s="32">
        <v>125</v>
      </c>
      <c r="C6" s="265">
        <v>100</v>
      </c>
      <c r="D6" s="265">
        <v>0</v>
      </c>
      <c r="E6" s="265">
        <v>0</v>
      </c>
      <c r="F6" s="470">
        <v>225</v>
      </c>
      <c r="G6" s="470">
        <v>225</v>
      </c>
      <c r="H6" s="470">
        <v>225</v>
      </c>
      <c r="I6" s="470">
        <v>300</v>
      </c>
      <c r="J6" s="470">
        <v>300</v>
      </c>
      <c r="K6" s="470">
        <v>300</v>
      </c>
      <c r="L6" s="470">
        <v>400</v>
      </c>
      <c r="M6" s="470">
        <v>400</v>
      </c>
      <c r="N6" s="470">
        <v>500</v>
      </c>
      <c r="O6" s="470">
        <v>1000</v>
      </c>
    </row>
    <row r="7" spans="1:15" ht="18.95" customHeight="1" x14ac:dyDescent="0.3">
      <c r="A7" s="42" t="s">
        <v>590</v>
      </c>
      <c r="B7" s="46">
        <v>125</v>
      </c>
      <c r="C7" s="48">
        <v>1000</v>
      </c>
      <c r="D7" s="48">
        <v>2500</v>
      </c>
      <c r="E7" s="48">
        <v>2500</v>
      </c>
      <c r="F7" s="471">
        <v>2500</v>
      </c>
      <c r="G7" s="471">
        <v>2500</v>
      </c>
      <c r="H7" s="471">
        <v>2500</v>
      </c>
      <c r="I7" s="471">
        <v>2500</v>
      </c>
      <c r="J7" s="471">
        <v>3500</v>
      </c>
      <c r="K7" s="471">
        <v>3500</v>
      </c>
      <c r="L7" s="471">
        <v>3500</v>
      </c>
      <c r="M7" s="471">
        <v>4500</v>
      </c>
      <c r="N7" s="471">
        <v>4800</v>
      </c>
      <c r="O7" s="471">
        <v>6000</v>
      </c>
    </row>
    <row r="8" spans="1:15" ht="18.95" customHeight="1" x14ac:dyDescent="0.3">
      <c r="A8" s="47" t="s">
        <v>579</v>
      </c>
      <c r="B8" s="46">
        <v>1000</v>
      </c>
      <c r="C8" s="38">
        <v>2500</v>
      </c>
      <c r="D8" s="38">
        <v>1500</v>
      </c>
      <c r="E8" s="38">
        <v>1500</v>
      </c>
      <c r="F8" s="447">
        <v>1000</v>
      </c>
      <c r="G8" s="447">
        <v>3500</v>
      </c>
      <c r="H8" s="447">
        <v>3500</v>
      </c>
      <c r="I8" s="447">
        <v>3500</v>
      </c>
      <c r="J8" s="447">
        <v>4500</v>
      </c>
      <c r="K8" s="447">
        <v>4500</v>
      </c>
      <c r="L8" s="447">
        <v>6000</v>
      </c>
      <c r="M8" s="447">
        <v>7000</v>
      </c>
      <c r="N8" s="447">
        <v>7000</v>
      </c>
      <c r="O8" s="447">
        <v>12000</v>
      </c>
    </row>
    <row r="9" spans="1:15" ht="18.95" customHeight="1" x14ac:dyDescent="0.3">
      <c r="A9" s="315" t="s">
        <v>580</v>
      </c>
      <c r="B9" s="77"/>
      <c r="C9" s="76">
        <v>1200</v>
      </c>
      <c r="D9" s="76">
        <v>1200</v>
      </c>
      <c r="E9" s="76">
        <v>1800</v>
      </c>
      <c r="F9" s="448">
        <v>1500</v>
      </c>
      <c r="G9" s="448">
        <v>3500</v>
      </c>
      <c r="H9" s="448">
        <v>3500</v>
      </c>
      <c r="I9" s="448">
        <v>3500</v>
      </c>
      <c r="J9" s="448">
        <v>4000</v>
      </c>
      <c r="K9" s="448">
        <v>4000</v>
      </c>
      <c r="L9" s="448">
        <v>4000</v>
      </c>
      <c r="M9" s="448">
        <v>4500</v>
      </c>
      <c r="N9" s="448">
        <v>4600</v>
      </c>
      <c r="O9" s="448">
        <v>8000</v>
      </c>
    </row>
    <row r="10" spans="1:15" ht="18.95" customHeight="1" x14ac:dyDescent="0.3">
      <c r="A10" s="315" t="s">
        <v>514</v>
      </c>
      <c r="B10" s="77"/>
      <c r="C10" s="76">
        <v>9327</v>
      </c>
      <c r="D10" s="76">
        <v>10000</v>
      </c>
      <c r="E10" s="76">
        <v>0</v>
      </c>
      <c r="F10" s="448">
        <v>0</v>
      </c>
      <c r="G10" s="448">
        <f>3200*4</f>
        <v>12800</v>
      </c>
      <c r="H10" s="448">
        <v>0</v>
      </c>
      <c r="I10" s="448">
        <f>3500*3</f>
        <v>10500</v>
      </c>
      <c r="J10" s="448">
        <v>0</v>
      </c>
      <c r="K10" s="448">
        <f>3600*2</f>
        <v>7200</v>
      </c>
      <c r="L10" s="448">
        <v>3600</v>
      </c>
      <c r="M10" s="448">
        <v>3600</v>
      </c>
      <c r="N10" s="448">
        <v>3800</v>
      </c>
      <c r="O10" s="448">
        <v>4000</v>
      </c>
    </row>
    <row r="11" spans="1:15" ht="18.95" hidden="1" customHeight="1" x14ac:dyDescent="0.3">
      <c r="A11" s="315" t="s">
        <v>608</v>
      </c>
      <c r="B11" s="77"/>
      <c r="C11" s="76"/>
      <c r="D11" s="76"/>
      <c r="E11" s="76"/>
      <c r="F11" s="448"/>
      <c r="G11" s="448"/>
      <c r="H11" s="448">
        <v>0</v>
      </c>
      <c r="I11" s="448">
        <v>0</v>
      </c>
      <c r="J11" s="448">
        <f>3800*3</f>
        <v>11400</v>
      </c>
      <c r="K11" s="448">
        <v>0</v>
      </c>
      <c r="L11" s="448">
        <v>0</v>
      </c>
      <c r="M11" s="448">
        <v>0</v>
      </c>
      <c r="N11" s="448">
        <v>0</v>
      </c>
      <c r="O11" s="448">
        <v>0</v>
      </c>
    </row>
    <row r="12" spans="1:15" ht="18.95" customHeight="1" x14ac:dyDescent="0.3">
      <c r="A12" s="315" t="s">
        <v>700</v>
      </c>
      <c r="B12" s="77"/>
      <c r="C12" s="76"/>
      <c r="D12" s="76"/>
      <c r="E12" s="76"/>
      <c r="F12" s="448"/>
      <c r="G12" s="448"/>
      <c r="H12" s="448"/>
      <c r="I12" s="448"/>
      <c r="J12" s="448"/>
      <c r="K12" s="448">
        <v>0</v>
      </c>
      <c r="L12" s="448"/>
      <c r="M12" s="448">
        <f>45000*3</f>
        <v>135000</v>
      </c>
      <c r="N12" s="448">
        <v>0</v>
      </c>
      <c r="O12" s="448">
        <v>0</v>
      </c>
    </row>
    <row r="13" spans="1:15" ht="18.95" customHeight="1" x14ac:dyDescent="0.3">
      <c r="A13" s="342"/>
      <c r="B13" s="305"/>
      <c r="C13" s="491"/>
      <c r="D13" s="491"/>
      <c r="E13" s="491"/>
      <c r="F13" s="543"/>
      <c r="G13" s="543"/>
      <c r="H13" s="543"/>
      <c r="I13" s="543"/>
      <c r="J13" s="543"/>
      <c r="K13" s="543"/>
      <c r="L13" s="543"/>
      <c r="M13" s="543"/>
      <c r="N13" s="543"/>
      <c r="O13" s="543"/>
    </row>
    <row r="14" spans="1:15" ht="18.95" customHeight="1" x14ac:dyDescent="0.3">
      <c r="A14" s="170" t="s">
        <v>95</v>
      </c>
      <c r="B14" s="544">
        <f>SUM(B4:B13)</f>
        <v>1450</v>
      </c>
      <c r="C14" s="544">
        <f>SUM(C4:C13)</f>
        <v>15027</v>
      </c>
      <c r="D14" s="544">
        <f>SUM(D4:D13)</f>
        <v>16000</v>
      </c>
      <c r="E14" s="544">
        <f t="shared" ref="E14:J14" si="0">SUM(E5:E13)</f>
        <v>6600</v>
      </c>
      <c r="F14" s="545">
        <f t="shared" si="0"/>
        <v>6025</v>
      </c>
      <c r="G14" s="545">
        <f t="shared" si="0"/>
        <v>24025</v>
      </c>
      <c r="H14" s="545">
        <f t="shared" si="0"/>
        <v>11225</v>
      </c>
      <c r="I14" s="545">
        <f t="shared" si="0"/>
        <v>21800</v>
      </c>
      <c r="J14" s="545">
        <f t="shared" si="0"/>
        <v>25200</v>
      </c>
      <c r="K14" s="545">
        <f>SUM(K5:K13)</f>
        <v>21000</v>
      </c>
      <c r="L14" s="545">
        <f>SUM(L5:L13)</f>
        <v>19000</v>
      </c>
      <c r="M14" s="545">
        <f>SUM(M5:M13)</f>
        <v>156500</v>
      </c>
      <c r="N14" s="545">
        <f>SUM(N5:N13)</f>
        <v>22300</v>
      </c>
      <c r="O14" s="545">
        <f>SUM(O5:O13)</f>
        <v>32500</v>
      </c>
    </row>
    <row r="15" spans="1:15" ht="18.75" customHeight="1" x14ac:dyDescent="0.3">
      <c r="A15" s="18"/>
    </row>
    <row r="16" spans="1:15" ht="18.75" customHeight="1" x14ac:dyDescent="0.3">
      <c r="A16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3"/>
  <sheetViews>
    <sheetView workbookViewId="0"/>
  </sheetViews>
  <sheetFormatPr defaultColWidth="9.140625" defaultRowHeight="18.75" customHeight="1" x14ac:dyDescent="0.3"/>
  <cols>
    <col min="1" max="1" width="29" style="67" bestFit="1" customWidth="1"/>
    <col min="2" max="4" width="10.7109375" style="18" hidden="1" customWidth="1"/>
    <col min="5" max="8" width="11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394</v>
      </c>
      <c r="B1" s="145"/>
      <c r="C1" s="145"/>
      <c r="D1" s="145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8.75" customHeight="1" x14ac:dyDescent="0.3">
      <c r="A2" s="68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71"/>
      <c r="B4" s="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s="36" customFormat="1" ht="18.75" customHeight="1" x14ac:dyDescent="0.3">
      <c r="A5" s="28" t="s">
        <v>581</v>
      </c>
      <c r="B5" s="32">
        <v>400</v>
      </c>
      <c r="C5" s="26">
        <v>400</v>
      </c>
      <c r="D5" s="26">
        <v>400</v>
      </c>
      <c r="E5" s="26">
        <v>400</v>
      </c>
      <c r="F5" s="451">
        <v>500</v>
      </c>
      <c r="G5" s="451">
        <v>500</v>
      </c>
      <c r="H5" s="451">
        <v>500</v>
      </c>
      <c r="I5" s="451">
        <v>600</v>
      </c>
      <c r="J5" s="451">
        <v>750</v>
      </c>
      <c r="K5" s="451">
        <v>750</v>
      </c>
      <c r="L5" s="451">
        <v>750</v>
      </c>
      <c r="M5" s="451">
        <v>750</v>
      </c>
      <c r="N5" s="451">
        <v>800</v>
      </c>
      <c r="O5" s="451">
        <v>800</v>
      </c>
    </row>
    <row r="6" spans="1:15" s="36" customFormat="1" ht="18.75" hidden="1" customHeight="1" x14ac:dyDescent="0.3">
      <c r="A6" s="546" t="s">
        <v>167</v>
      </c>
      <c r="B6" s="32">
        <v>200</v>
      </c>
      <c r="C6" s="26"/>
      <c r="D6" s="26"/>
      <c r="E6" s="26"/>
      <c r="F6" s="451"/>
      <c r="G6" s="451"/>
      <c r="H6" s="451"/>
      <c r="I6" s="451"/>
      <c r="J6" s="451"/>
      <c r="K6" s="451"/>
      <c r="L6" s="451"/>
      <c r="M6" s="451"/>
      <c r="N6" s="451"/>
      <c r="O6" s="451"/>
    </row>
    <row r="7" spans="1:15" s="36" customFormat="1" ht="18.75" customHeight="1" x14ac:dyDescent="0.3">
      <c r="A7" s="531" t="s">
        <v>12</v>
      </c>
      <c r="B7" s="32">
        <v>200</v>
      </c>
      <c r="C7" s="46">
        <v>100</v>
      </c>
      <c r="D7" s="46">
        <v>100</v>
      </c>
      <c r="E7" s="46">
        <v>100</v>
      </c>
      <c r="F7" s="395">
        <v>150</v>
      </c>
      <c r="G7" s="395">
        <v>300</v>
      </c>
      <c r="H7" s="395">
        <v>300</v>
      </c>
      <c r="I7" s="395">
        <v>1800</v>
      </c>
      <c r="J7" s="395">
        <v>500</v>
      </c>
      <c r="K7" s="395">
        <v>500</v>
      </c>
      <c r="L7" s="395">
        <v>500</v>
      </c>
      <c r="M7" s="395">
        <v>500</v>
      </c>
      <c r="N7" s="395">
        <v>600</v>
      </c>
      <c r="O7" s="395">
        <v>600</v>
      </c>
    </row>
    <row r="8" spans="1:15" ht="18.75" customHeight="1" x14ac:dyDescent="0.3">
      <c r="A8" s="604" t="s">
        <v>635</v>
      </c>
      <c r="B8" s="42"/>
      <c r="C8" s="26"/>
      <c r="D8" s="26"/>
      <c r="E8" s="26"/>
      <c r="F8" s="451"/>
      <c r="G8" s="451"/>
      <c r="H8" s="451"/>
      <c r="I8" s="451"/>
      <c r="J8" s="451"/>
      <c r="K8" s="451">
        <v>1100</v>
      </c>
      <c r="L8" s="451">
        <v>1200</v>
      </c>
      <c r="M8" s="451">
        <v>1500</v>
      </c>
      <c r="N8" s="451">
        <v>1600</v>
      </c>
      <c r="O8" s="451">
        <v>1600</v>
      </c>
    </row>
    <row r="9" spans="1:15" ht="18.75" customHeight="1" thickBot="1" x14ac:dyDescent="0.35">
      <c r="A9" s="43"/>
      <c r="B9" s="155"/>
      <c r="C9" s="196"/>
      <c r="D9" s="196"/>
      <c r="E9" s="196"/>
      <c r="F9" s="461"/>
      <c r="G9" s="461"/>
      <c r="H9" s="461"/>
      <c r="I9" s="461"/>
      <c r="J9" s="461"/>
      <c r="K9" s="461"/>
      <c r="L9" s="461"/>
      <c r="M9" s="461"/>
      <c r="N9" s="461"/>
      <c r="O9" s="461"/>
    </row>
    <row r="10" spans="1:15" ht="18.75" customHeight="1" thickTop="1" x14ac:dyDescent="0.3">
      <c r="A10" s="73" t="s">
        <v>95</v>
      </c>
      <c r="B10" s="34">
        <f t="shared" ref="B10:H10" si="0">SUM(B4:B9)</f>
        <v>800</v>
      </c>
      <c r="C10" s="34">
        <f t="shared" si="0"/>
        <v>500</v>
      </c>
      <c r="D10" s="172">
        <f t="shared" si="0"/>
        <v>500</v>
      </c>
      <c r="E10" s="172">
        <f t="shared" si="0"/>
        <v>500</v>
      </c>
      <c r="F10" s="462">
        <f t="shared" si="0"/>
        <v>650</v>
      </c>
      <c r="G10" s="462">
        <f>SUM(G4:G9)</f>
        <v>800</v>
      </c>
      <c r="H10" s="462">
        <f t="shared" si="0"/>
        <v>800</v>
      </c>
      <c r="I10" s="462">
        <f t="shared" ref="I10:N10" si="1">SUM(I4:I9)</f>
        <v>2400</v>
      </c>
      <c r="J10" s="462">
        <f t="shared" si="1"/>
        <v>1250</v>
      </c>
      <c r="K10" s="462">
        <f t="shared" si="1"/>
        <v>2350</v>
      </c>
      <c r="L10" s="462">
        <f t="shared" si="1"/>
        <v>2450</v>
      </c>
      <c r="M10" s="462">
        <f t="shared" si="1"/>
        <v>2750</v>
      </c>
      <c r="N10" s="462">
        <f t="shared" si="1"/>
        <v>3000</v>
      </c>
      <c r="O10" s="462">
        <f t="shared" ref="O10" si="2">SUM(O4:O9)</f>
        <v>3000</v>
      </c>
    </row>
    <row r="11" spans="1:15" ht="18.75" customHeight="1" x14ac:dyDescent="0.3">
      <c r="A11" s="18"/>
    </row>
    <row r="12" spans="1:15" s="36" customFormat="1" ht="18.75" customHeight="1" x14ac:dyDescent="0.3">
      <c r="A12" s="18"/>
    </row>
    <row r="13" spans="1:15" ht="18.75" customHeight="1" x14ac:dyDescent="0.3">
      <c r="A13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ColWidth="9.140625" defaultRowHeight="18.75" customHeight="1" x14ac:dyDescent="0.2"/>
  <cols>
    <col min="1" max="1" width="27.5703125" style="9" customWidth="1"/>
    <col min="2" max="4" width="11.7109375" style="66" hidden="1" customWidth="1"/>
    <col min="5" max="8" width="11.28515625" style="66" hidden="1" customWidth="1"/>
    <col min="9" max="12" width="0" style="66" hidden="1" customWidth="1"/>
    <col min="13" max="16384" width="9.140625" style="66"/>
  </cols>
  <sheetData>
    <row r="1" spans="1:18" s="140" customFormat="1" ht="18.75" customHeight="1" x14ac:dyDescent="0.3">
      <c r="A1" s="167" t="s">
        <v>191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66"/>
      <c r="Q1" s="66"/>
      <c r="R1" s="66"/>
    </row>
    <row r="2" spans="1:18" ht="18.7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s="140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  <c r="P3" s="66"/>
      <c r="Q3" s="66"/>
      <c r="R3" s="66"/>
    </row>
    <row r="4" spans="1:18" s="141" customFormat="1" ht="18.75" customHeight="1" x14ac:dyDescent="0.3">
      <c r="A4" s="71"/>
      <c r="B4" s="71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66"/>
      <c r="Q4" s="66"/>
      <c r="R4" s="66"/>
    </row>
    <row r="5" spans="1:18" ht="18.75" customHeight="1" x14ac:dyDescent="0.3">
      <c r="A5" s="42" t="s">
        <v>582</v>
      </c>
      <c r="B5" s="32">
        <v>21000</v>
      </c>
      <c r="C5" s="46">
        <v>21000</v>
      </c>
      <c r="D5" s="46">
        <f>18963</f>
        <v>18963</v>
      </c>
      <c r="E5" s="46">
        <v>19600</v>
      </c>
      <c r="F5" s="395">
        <v>19086</v>
      </c>
      <c r="G5" s="395">
        <v>19500</v>
      </c>
      <c r="H5" s="395">
        <v>20900</v>
      </c>
      <c r="I5" s="395">
        <v>22000</v>
      </c>
      <c r="J5" s="395">
        <f>19998*1.1</f>
        <v>21997.800000000003</v>
      </c>
      <c r="K5" s="395">
        <f>21998*1.1</f>
        <v>24197.800000000003</v>
      </c>
      <c r="L5" s="395">
        <f>27703-2744</f>
        <v>24959</v>
      </c>
      <c r="M5" s="395">
        <f>L5*1.05</f>
        <v>26206.95</v>
      </c>
      <c r="N5" s="395">
        <f>M5*1.075</f>
        <v>28172.471249999999</v>
      </c>
      <c r="O5" s="395">
        <f>N5*1.25</f>
        <v>35215.589062499996</v>
      </c>
    </row>
    <row r="6" spans="1:18" ht="18.75" customHeight="1" x14ac:dyDescent="0.3">
      <c r="A6" s="214"/>
      <c r="B6" s="33"/>
      <c r="C6" s="77"/>
      <c r="D6" s="77"/>
      <c r="E6" s="77"/>
      <c r="F6" s="464"/>
      <c r="G6" s="464"/>
      <c r="H6" s="464"/>
      <c r="I6" s="464"/>
      <c r="J6" s="464"/>
      <c r="K6" s="464"/>
      <c r="L6" s="464"/>
      <c r="M6" s="464"/>
      <c r="N6" s="464"/>
      <c r="O6" s="464"/>
    </row>
    <row r="7" spans="1:18" ht="18.75" customHeight="1" thickBot="1" x14ac:dyDescent="0.35">
      <c r="A7" s="214"/>
      <c r="B7" s="33">
        <v>-1327</v>
      </c>
      <c r="C7" s="77"/>
      <c r="D7" s="77"/>
      <c r="E7" s="77"/>
      <c r="F7" s="464"/>
      <c r="G7" s="464"/>
      <c r="H7" s="464"/>
      <c r="I7" s="464"/>
      <c r="J7" s="464"/>
      <c r="K7" s="464"/>
      <c r="L7" s="464"/>
      <c r="M7" s="464"/>
      <c r="N7" s="464"/>
      <c r="O7" s="464"/>
    </row>
    <row r="8" spans="1:18" ht="18.75" customHeight="1" thickTop="1" x14ac:dyDescent="0.3">
      <c r="A8" s="80" t="s">
        <v>95</v>
      </c>
      <c r="B8" s="542">
        <f>SUM(B4:B7)</f>
        <v>19673</v>
      </c>
      <c r="C8" s="79">
        <f>SUM(C4:C7)</f>
        <v>21000</v>
      </c>
      <c r="D8" s="79">
        <f>SUM(D4:D7)</f>
        <v>18963</v>
      </c>
      <c r="E8" s="79">
        <f t="shared" ref="E8:J8" si="0">SUM(E4:E7)</f>
        <v>19600</v>
      </c>
      <c r="F8" s="465">
        <f t="shared" si="0"/>
        <v>19086</v>
      </c>
      <c r="G8" s="465">
        <f t="shared" si="0"/>
        <v>19500</v>
      </c>
      <c r="H8" s="465">
        <f t="shared" si="0"/>
        <v>20900</v>
      </c>
      <c r="I8" s="465">
        <f t="shared" si="0"/>
        <v>22000</v>
      </c>
      <c r="J8" s="465">
        <f t="shared" si="0"/>
        <v>21997.800000000003</v>
      </c>
      <c r="K8" s="465">
        <f>SUM(K4:K7)</f>
        <v>24197.800000000003</v>
      </c>
      <c r="L8" s="465">
        <f>SUM(L4:L7)</f>
        <v>24959</v>
      </c>
      <c r="M8" s="465">
        <f>SUM(M4:M7)</f>
        <v>26206.95</v>
      </c>
      <c r="N8" s="465">
        <f>SUM(N4:N7)</f>
        <v>28172.471249999999</v>
      </c>
      <c r="O8" s="465">
        <f>SUM(O4:O7)</f>
        <v>35215.589062499996</v>
      </c>
    </row>
    <row r="9" spans="1:18" ht="18.75" customHeight="1" x14ac:dyDescent="0.3">
      <c r="A9" s="18"/>
      <c r="B9" s="95"/>
    </row>
    <row r="10" spans="1:18" ht="18.75" customHeight="1" x14ac:dyDescent="0.3">
      <c r="A10" s="18"/>
      <c r="B10" s="18"/>
    </row>
    <row r="11" spans="1:18" ht="18.75" customHeight="1" x14ac:dyDescent="0.2">
      <c r="A11" s="66"/>
    </row>
    <row r="12" spans="1:18" ht="18.75" customHeight="1" x14ac:dyDescent="0.2">
      <c r="A12" s="66"/>
    </row>
    <row r="13" spans="1:18" ht="18.75" customHeight="1" x14ac:dyDescent="0.2">
      <c r="A13" s="66"/>
    </row>
    <row r="14" spans="1:18" ht="18.75" customHeight="1" x14ac:dyDescent="0.2">
      <c r="A14" s="66"/>
    </row>
    <row r="15" spans="1:18" ht="18.75" customHeight="1" x14ac:dyDescent="0.2">
      <c r="A15" s="66"/>
    </row>
    <row r="16" spans="1:18" ht="18.75" customHeight="1" x14ac:dyDescent="0.2">
      <c r="A16" s="66"/>
    </row>
    <row r="17" spans="1:1" ht="18.75" customHeight="1" x14ac:dyDescent="0.2">
      <c r="A17" s="66"/>
    </row>
    <row r="18" spans="1:1" ht="18.75" customHeight="1" x14ac:dyDescent="0.2">
      <c r="A18" s="66"/>
    </row>
    <row r="19" spans="1:1" ht="18.75" customHeight="1" x14ac:dyDescent="0.2">
      <c r="A19" s="66"/>
    </row>
    <row r="20" spans="1:1" ht="18.75" customHeight="1" x14ac:dyDescent="0.2">
      <c r="A20" s="66"/>
    </row>
    <row r="21" spans="1:1" ht="18.75" customHeight="1" x14ac:dyDescent="0.2">
      <c r="A21" s="66"/>
    </row>
    <row r="22" spans="1:1" ht="18.75" customHeight="1" x14ac:dyDescent="0.2">
      <c r="A22" s="66"/>
    </row>
    <row r="23" spans="1:1" ht="18.75" customHeight="1" x14ac:dyDescent="0.2">
      <c r="A23" s="66"/>
    </row>
    <row r="24" spans="1:1" ht="18.75" customHeight="1" x14ac:dyDescent="0.2">
      <c r="A24" s="66"/>
    </row>
    <row r="25" spans="1:1" ht="18.75" customHeight="1" x14ac:dyDescent="0.2">
      <c r="A25" s="66"/>
    </row>
    <row r="26" spans="1:1" ht="18.75" customHeight="1" x14ac:dyDescent="0.2">
      <c r="A26" s="66"/>
    </row>
    <row r="27" spans="1:1" ht="18.75" customHeight="1" x14ac:dyDescent="0.2">
      <c r="A27" s="66"/>
    </row>
    <row r="28" spans="1:1" ht="18.75" customHeight="1" x14ac:dyDescent="0.2">
      <c r="A28" s="66"/>
    </row>
    <row r="29" spans="1:1" ht="18.75" customHeight="1" x14ac:dyDescent="0.2">
      <c r="A29" s="66"/>
    </row>
    <row r="30" spans="1:1" ht="18.75" customHeight="1" x14ac:dyDescent="0.2">
      <c r="A30" s="66"/>
    </row>
    <row r="31" spans="1:1" ht="18.75" customHeight="1" x14ac:dyDescent="0.2">
      <c r="A31" s="66"/>
    </row>
    <row r="32" spans="1:1" ht="18.75" customHeight="1" x14ac:dyDescent="0.2">
      <c r="A32" s="66"/>
    </row>
    <row r="33" spans="1:1" ht="18.75" customHeight="1" x14ac:dyDescent="0.2">
      <c r="A33" s="66"/>
    </row>
    <row r="34" spans="1:1" ht="18.75" customHeight="1" x14ac:dyDescent="0.2">
      <c r="A34" s="66"/>
    </row>
    <row r="35" spans="1:1" ht="18.75" customHeight="1" x14ac:dyDescent="0.2">
      <c r="A35" s="66"/>
    </row>
    <row r="36" spans="1:1" ht="18.75" customHeight="1" x14ac:dyDescent="0.2">
      <c r="A36" s="66"/>
    </row>
    <row r="37" spans="1:1" ht="18.75" customHeight="1" x14ac:dyDescent="0.2">
      <c r="A37" s="66"/>
    </row>
    <row r="38" spans="1:1" ht="18.75" customHeight="1" x14ac:dyDescent="0.2">
      <c r="A38" s="66"/>
    </row>
    <row r="39" spans="1:1" ht="18.75" customHeight="1" x14ac:dyDescent="0.2">
      <c r="A39" s="66"/>
    </row>
    <row r="40" spans="1:1" ht="18.75" customHeight="1" x14ac:dyDescent="0.2">
      <c r="A40" s="66"/>
    </row>
    <row r="41" spans="1:1" ht="18.75" customHeight="1" x14ac:dyDescent="0.2">
      <c r="A41" s="66"/>
    </row>
    <row r="42" spans="1:1" ht="18.75" customHeight="1" x14ac:dyDescent="0.2">
      <c r="A42" s="66"/>
    </row>
    <row r="43" spans="1:1" ht="18.75" customHeight="1" x14ac:dyDescent="0.2">
      <c r="A43" s="66"/>
    </row>
    <row r="44" spans="1:1" ht="18.75" customHeight="1" x14ac:dyDescent="0.2">
      <c r="A44" s="66"/>
    </row>
    <row r="45" spans="1:1" ht="18.75" customHeight="1" x14ac:dyDescent="0.2">
      <c r="A45" s="66"/>
    </row>
    <row r="46" spans="1:1" ht="18.75" customHeight="1" x14ac:dyDescent="0.2">
      <c r="A46" s="66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177" customWidth="1"/>
    <col min="2" max="2" width="11.5703125" style="177" hidden="1" customWidth="1"/>
    <col min="3" max="4" width="10.7109375" style="177" hidden="1" customWidth="1"/>
    <col min="5" max="8" width="12.7109375" style="177" hidden="1" customWidth="1"/>
    <col min="9" max="12" width="12.5703125" style="177" hidden="1" customWidth="1"/>
    <col min="13" max="13" width="12.5703125" style="177" bestFit="1" customWidth="1"/>
    <col min="14" max="15" width="10" style="177" customWidth="1"/>
    <col min="16" max="16384" width="8.85546875" style="177"/>
  </cols>
  <sheetData>
    <row r="1" spans="1:15" s="174" customFormat="1" ht="22.5" customHeight="1" x14ac:dyDescent="0.2">
      <c r="A1" s="393" t="s">
        <v>407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s="176" customFormat="1" ht="25.5" customHeight="1" x14ac:dyDescent="0.2">
      <c r="A2" s="175"/>
      <c r="B2" s="291">
        <v>2010</v>
      </c>
      <c r="C2" s="291">
        <v>2013</v>
      </c>
      <c r="D2" s="146">
        <v>2014</v>
      </c>
      <c r="E2" s="146">
        <v>2015</v>
      </c>
      <c r="F2" s="146">
        <v>2016</v>
      </c>
      <c r="G2" s="146">
        <v>2017</v>
      </c>
      <c r="H2" s="146">
        <v>2018</v>
      </c>
      <c r="I2" s="146">
        <v>2019</v>
      </c>
      <c r="J2" s="146">
        <v>2020</v>
      </c>
      <c r="K2" s="146">
        <v>2021</v>
      </c>
      <c r="L2" s="146">
        <v>2022</v>
      </c>
      <c r="M2" s="146">
        <v>2023</v>
      </c>
      <c r="N2" s="146">
        <v>2024</v>
      </c>
      <c r="O2" s="146">
        <v>2025</v>
      </c>
    </row>
    <row r="3" spans="1:15" s="174" customFormat="1" x14ac:dyDescent="0.2">
      <c r="A3" s="143" t="s">
        <v>97</v>
      </c>
      <c r="B3" s="323"/>
      <c r="C3" s="323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 hidden="1" x14ac:dyDescent="0.2">
      <c r="A4" s="325" t="s">
        <v>183</v>
      </c>
      <c r="B4" s="326">
        <v>300</v>
      </c>
      <c r="C4" s="327">
        <v>275</v>
      </c>
      <c r="D4" s="327">
        <v>600</v>
      </c>
      <c r="E4" s="327" t="s">
        <v>406</v>
      </c>
      <c r="F4" s="327" t="s">
        <v>406</v>
      </c>
      <c r="G4" s="327" t="s">
        <v>406</v>
      </c>
      <c r="H4" s="327" t="s">
        <v>406</v>
      </c>
      <c r="I4" s="327" t="s">
        <v>406</v>
      </c>
      <c r="J4" s="327" t="s">
        <v>406</v>
      </c>
      <c r="K4" s="327" t="s">
        <v>406</v>
      </c>
      <c r="L4" s="327" t="s">
        <v>406</v>
      </c>
      <c r="M4" s="327" t="s">
        <v>406</v>
      </c>
      <c r="N4" s="327" t="s">
        <v>406</v>
      </c>
      <c r="O4" s="327" t="s">
        <v>406</v>
      </c>
    </row>
    <row r="5" spans="1:15" hidden="1" x14ac:dyDescent="0.2">
      <c r="A5" s="325" t="s">
        <v>184</v>
      </c>
      <c r="B5" s="326">
        <v>250</v>
      </c>
      <c r="C5" s="327">
        <v>500</v>
      </c>
      <c r="D5" s="327">
        <v>800</v>
      </c>
      <c r="E5" s="327" t="s">
        <v>406</v>
      </c>
      <c r="F5" s="327" t="s">
        <v>406</v>
      </c>
      <c r="G5" s="327" t="s">
        <v>406</v>
      </c>
      <c r="H5" s="327" t="s">
        <v>406</v>
      </c>
      <c r="I5" s="327" t="s">
        <v>406</v>
      </c>
      <c r="J5" s="327" t="s">
        <v>406</v>
      </c>
      <c r="K5" s="327" t="s">
        <v>406</v>
      </c>
      <c r="L5" s="327" t="s">
        <v>406</v>
      </c>
      <c r="M5" s="327" t="s">
        <v>406</v>
      </c>
      <c r="N5" s="327" t="s">
        <v>406</v>
      </c>
      <c r="O5" s="327" t="s">
        <v>406</v>
      </c>
    </row>
    <row r="6" spans="1:15" x14ac:dyDescent="0.2">
      <c r="A6" s="325" t="s">
        <v>257</v>
      </c>
      <c r="B6" s="326">
        <v>1000</v>
      </c>
      <c r="C6" s="327">
        <v>3000</v>
      </c>
      <c r="D6" s="327">
        <v>5000</v>
      </c>
      <c r="E6" s="327">
        <v>4000</v>
      </c>
      <c r="F6" s="463">
        <v>3500</v>
      </c>
      <c r="G6" s="463">
        <v>3500</v>
      </c>
      <c r="H6" s="463">
        <v>3500</v>
      </c>
      <c r="I6" s="463">
        <v>3500</v>
      </c>
      <c r="J6" s="463">
        <v>3500</v>
      </c>
      <c r="K6" s="463">
        <v>3000</v>
      </c>
      <c r="L6" s="463">
        <v>3500</v>
      </c>
      <c r="M6" s="463">
        <v>3500</v>
      </c>
      <c r="N6" s="463">
        <v>3500</v>
      </c>
      <c r="O6" s="463">
        <v>3500</v>
      </c>
    </row>
    <row r="7" spans="1:15" hidden="1" x14ac:dyDescent="0.2">
      <c r="A7" s="325" t="s">
        <v>73</v>
      </c>
      <c r="B7" s="326"/>
      <c r="C7" s="327">
        <v>500</v>
      </c>
      <c r="D7" s="327">
        <v>1000</v>
      </c>
      <c r="E7" s="327" t="s">
        <v>402</v>
      </c>
      <c r="F7" s="463" t="s">
        <v>402</v>
      </c>
      <c r="G7" s="463"/>
      <c r="H7" s="463"/>
      <c r="I7" s="463"/>
      <c r="J7" s="463"/>
      <c r="K7" s="463"/>
      <c r="L7" s="463"/>
      <c r="M7" s="463"/>
      <c r="N7" s="463"/>
      <c r="O7" s="463"/>
    </row>
    <row r="8" spans="1:15" hidden="1" x14ac:dyDescent="0.2">
      <c r="A8" s="325" t="s">
        <v>74</v>
      </c>
      <c r="B8" s="326">
        <v>1000</v>
      </c>
      <c r="C8" s="327">
        <v>400</v>
      </c>
      <c r="D8" s="327">
        <v>1000</v>
      </c>
      <c r="E8" s="327" t="s">
        <v>402</v>
      </c>
      <c r="F8" s="463" t="s">
        <v>402</v>
      </c>
      <c r="G8" s="463"/>
      <c r="H8" s="463"/>
      <c r="I8" s="463"/>
      <c r="J8" s="463"/>
      <c r="K8" s="463"/>
      <c r="L8" s="463"/>
      <c r="M8" s="463"/>
      <c r="N8" s="463"/>
      <c r="O8" s="463"/>
    </row>
    <row r="9" spans="1:15" hidden="1" x14ac:dyDescent="0.2">
      <c r="A9" s="325" t="s">
        <v>256</v>
      </c>
      <c r="B9" s="326">
        <v>1800</v>
      </c>
      <c r="C9" s="327">
        <v>2400</v>
      </c>
      <c r="D9" s="327">
        <v>2100</v>
      </c>
      <c r="E9" s="327" t="s">
        <v>403</v>
      </c>
      <c r="F9" s="463" t="s">
        <v>403</v>
      </c>
      <c r="G9" s="463"/>
      <c r="H9" s="463"/>
      <c r="I9" s="463"/>
      <c r="J9" s="463"/>
      <c r="K9" s="463"/>
      <c r="L9" s="463"/>
      <c r="M9" s="463"/>
      <c r="N9" s="463"/>
      <c r="O9" s="463"/>
    </row>
    <row r="10" spans="1:15" hidden="1" x14ac:dyDescent="0.2">
      <c r="A10" s="325" t="s">
        <v>255</v>
      </c>
      <c r="B10" s="326">
        <v>2440</v>
      </c>
      <c r="C10" s="327">
        <v>450</v>
      </c>
      <c r="D10" s="327">
        <v>700</v>
      </c>
      <c r="E10" s="327" t="s">
        <v>402</v>
      </c>
      <c r="F10" s="463" t="s">
        <v>402</v>
      </c>
      <c r="G10" s="463"/>
      <c r="H10" s="463"/>
      <c r="I10" s="463"/>
      <c r="J10" s="463"/>
      <c r="K10" s="463"/>
      <c r="L10" s="463"/>
      <c r="M10" s="463"/>
      <c r="N10" s="463"/>
      <c r="O10" s="463"/>
    </row>
    <row r="11" spans="1:15" hidden="1" x14ac:dyDescent="0.2">
      <c r="A11" s="325" t="s">
        <v>339</v>
      </c>
      <c r="B11" s="326"/>
      <c r="C11" s="327">
        <v>850</v>
      </c>
      <c r="D11" s="327">
        <v>850</v>
      </c>
      <c r="E11" s="327" t="s">
        <v>405</v>
      </c>
      <c r="F11" s="463" t="s">
        <v>405</v>
      </c>
      <c r="G11" s="463"/>
      <c r="H11" s="463"/>
      <c r="I11" s="463"/>
      <c r="J11" s="463"/>
      <c r="K11" s="463"/>
      <c r="L11" s="463"/>
      <c r="M11" s="463"/>
      <c r="N11" s="463"/>
      <c r="O11" s="463"/>
    </row>
    <row r="12" spans="1:15" hidden="1" x14ac:dyDescent="0.2">
      <c r="A12" s="325" t="s">
        <v>258</v>
      </c>
      <c r="B12" s="326">
        <v>2040</v>
      </c>
      <c r="C12" s="327"/>
      <c r="D12" s="327">
        <v>1000</v>
      </c>
      <c r="E12" s="327" t="s">
        <v>402</v>
      </c>
      <c r="F12" s="463" t="s">
        <v>402</v>
      </c>
      <c r="G12" s="463"/>
      <c r="H12" s="463"/>
      <c r="I12" s="463"/>
      <c r="J12" s="463"/>
      <c r="K12" s="463"/>
      <c r="L12" s="463"/>
      <c r="M12" s="463"/>
      <c r="N12" s="463"/>
      <c r="O12" s="463"/>
    </row>
    <row r="13" spans="1:15" hidden="1" x14ac:dyDescent="0.2">
      <c r="A13" s="325" t="s">
        <v>285</v>
      </c>
      <c r="B13" s="326">
        <v>2280</v>
      </c>
      <c r="C13" s="327"/>
      <c r="D13" s="327">
        <v>1000</v>
      </c>
      <c r="E13" s="327" t="s">
        <v>402</v>
      </c>
      <c r="F13" s="463" t="s">
        <v>402</v>
      </c>
      <c r="G13" s="463"/>
      <c r="H13" s="463"/>
      <c r="I13" s="463"/>
      <c r="J13" s="463"/>
      <c r="K13" s="463"/>
      <c r="L13" s="463"/>
      <c r="M13" s="463"/>
      <c r="N13" s="463"/>
      <c r="O13" s="463"/>
    </row>
    <row r="14" spans="1:15" x14ac:dyDescent="0.2">
      <c r="A14" s="325" t="s">
        <v>636</v>
      </c>
      <c r="B14" s="326">
        <v>3200</v>
      </c>
      <c r="C14" s="327">
        <v>1500</v>
      </c>
      <c r="D14" s="327">
        <v>1200</v>
      </c>
      <c r="E14" s="327" t="s">
        <v>406</v>
      </c>
      <c r="F14" s="463" t="s">
        <v>406</v>
      </c>
      <c r="G14" s="463"/>
      <c r="H14" s="463"/>
      <c r="I14" s="463">
        <v>0</v>
      </c>
      <c r="J14" s="463"/>
      <c r="K14" s="463">
        <v>1000</v>
      </c>
      <c r="L14" s="463">
        <v>1500</v>
      </c>
      <c r="M14" s="463">
        <v>1500</v>
      </c>
      <c r="N14" s="463">
        <v>1600</v>
      </c>
      <c r="O14" s="463">
        <v>2000</v>
      </c>
    </row>
    <row r="15" spans="1:15" x14ac:dyDescent="0.2">
      <c r="A15" s="325" t="s">
        <v>260</v>
      </c>
      <c r="B15" s="326">
        <v>4000</v>
      </c>
      <c r="C15" s="327">
        <v>4000</v>
      </c>
      <c r="D15" s="327">
        <v>4500</v>
      </c>
      <c r="E15" s="327">
        <v>4500</v>
      </c>
      <c r="F15" s="463">
        <v>5000</v>
      </c>
      <c r="G15" s="463">
        <v>6000</v>
      </c>
      <c r="H15" s="463">
        <v>8000</v>
      </c>
      <c r="I15" s="463">
        <v>8500</v>
      </c>
      <c r="J15" s="463">
        <v>8500</v>
      </c>
      <c r="K15" s="463">
        <v>8500</v>
      </c>
      <c r="L15" s="463">
        <v>8500</v>
      </c>
      <c r="M15" s="463">
        <v>8500</v>
      </c>
      <c r="N15" s="463">
        <v>9000</v>
      </c>
      <c r="O15" s="463">
        <v>10000</v>
      </c>
    </row>
    <row r="16" spans="1:15" hidden="1" x14ac:dyDescent="0.2">
      <c r="A16" s="325" t="s">
        <v>261</v>
      </c>
      <c r="B16" s="326">
        <v>1500</v>
      </c>
      <c r="C16" s="327"/>
      <c r="D16" s="327">
        <v>600</v>
      </c>
      <c r="E16" s="327" t="s">
        <v>405</v>
      </c>
      <c r="F16" s="463" t="s">
        <v>405</v>
      </c>
      <c r="G16" s="463"/>
      <c r="H16" s="463"/>
      <c r="I16" s="463"/>
      <c r="J16" s="463"/>
      <c r="K16" s="463"/>
      <c r="L16" s="463"/>
      <c r="M16" s="463"/>
      <c r="N16" s="463"/>
      <c r="O16" s="463"/>
    </row>
    <row r="17" spans="1:15" x14ac:dyDescent="0.2">
      <c r="A17" s="325" t="s">
        <v>259</v>
      </c>
      <c r="B17" s="326">
        <v>3000</v>
      </c>
      <c r="C17" s="327">
        <v>3000</v>
      </c>
      <c r="D17" s="327">
        <f>3000-1235</f>
        <v>1765</v>
      </c>
      <c r="E17" s="327">
        <v>3000</v>
      </c>
      <c r="F17" s="463">
        <v>3000</v>
      </c>
      <c r="G17" s="463">
        <v>4500</v>
      </c>
      <c r="H17" s="463">
        <v>4500</v>
      </c>
      <c r="I17" s="463">
        <v>4500</v>
      </c>
      <c r="J17" s="463">
        <v>4500</v>
      </c>
      <c r="K17" s="463">
        <v>4500</v>
      </c>
      <c r="L17" s="463">
        <v>4500</v>
      </c>
      <c r="M17" s="463">
        <v>4500</v>
      </c>
      <c r="N17" s="463">
        <v>4800</v>
      </c>
      <c r="O17" s="463">
        <v>4800</v>
      </c>
    </row>
    <row r="18" spans="1:15" hidden="1" x14ac:dyDescent="0.2">
      <c r="A18" s="325" t="s">
        <v>296</v>
      </c>
      <c r="B18" s="326">
        <v>1400</v>
      </c>
      <c r="C18" s="327">
        <v>4500</v>
      </c>
      <c r="D18" s="327">
        <v>3000</v>
      </c>
      <c r="E18" s="327" t="s">
        <v>403</v>
      </c>
      <c r="F18" s="463" t="s">
        <v>403</v>
      </c>
      <c r="G18" s="463"/>
      <c r="H18" s="463"/>
      <c r="I18" s="463"/>
      <c r="J18" s="463"/>
      <c r="K18" s="463"/>
      <c r="L18" s="463"/>
      <c r="M18" s="463"/>
      <c r="N18" s="463"/>
      <c r="O18" s="463"/>
    </row>
    <row r="19" spans="1:15" hidden="1" x14ac:dyDescent="0.2">
      <c r="A19" s="325" t="s">
        <v>400</v>
      </c>
      <c r="B19" s="326">
        <v>1400</v>
      </c>
      <c r="C19" s="327">
        <v>3000</v>
      </c>
      <c r="D19" s="327">
        <v>1500</v>
      </c>
      <c r="E19" s="327" t="s">
        <v>403</v>
      </c>
      <c r="F19" s="463" t="s">
        <v>403</v>
      </c>
      <c r="G19" s="463"/>
      <c r="H19" s="463"/>
      <c r="I19" s="463"/>
      <c r="J19" s="463"/>
      <c r="K19" s="463"/>
      <c r="L19" s="463"/>
      <c r="M19" s="463"/>
      <c r="N19" s="463"/>
      <c r="O19" s="463"/>
    </row>
    <row r="20" spans="1:15" hidden="1" x14ac:dyDescent="0.2">
      <c r="A20" s="325" t="s">
        <v>297</v>
      </c>
      <c r="B20" s="326"/>
      <c r="C20" s="327">
        <v>2500</v>
      </c>
      <c r="D20" s="327">
        <v>2500</v>
      </c>
      <c r="E20" s="327" t="s">
        <v>403</v>
      </c>
      <c r="F20" s="463" t="s">
        <v>403</v>
      </c>
      <c r="G20" s="463"/>
      <c r="H20" s="463"/>
      <c r="I20" s="463"/>
      <c r="J20" s="463"/>
      <c r="K20" s="463"/>
      <c r="L20" s="463"/>
      <c r="M20" s="463"/>
      <c r="N20" s="463"/>
      <c r="O20" s="463"/>
    </row>
    <row r="21" spans="1:15" hidden="1" x14ac:dyDescent="0.2">
      <c r="A21" s="325" t="s">
        <v>298</v>
      </c>
      <c r="B21" s="326"/>
      <c r="C21" s="327">
        <v>4000</v>
      </c>
      <c r="D21" s="327">
        <v>4000</v>
      </c>
      <c r="E21" s="327" t="s">
        <v>403</v>
      </c>
      <c r="F21" s="463" t="s">
        <v>403</v>
      </c>
      <c r="G21" s="463"/>
      <c r="H21" s="463"/>
      <c r="I21" s="463"/>
      <c r="J21" s="463"/>
      <c r="K21" s="463"/>
      <c r="L21" s="463"/>
      <c r="M21" s="463"/>
      <c r="N21" s="463"/>
      <c r="O21" s="463"/>
    </row>
    <row r="22" spans="1:15" x14ac:dyDescent="0.2">
      <c r="A22" s="325" t="s">
        <v>299</v>
      </c>
      <c r="B22" s="328"/>
      <c r="C22" s="327">
        <v>4500</v>
      </c>
      <c r="D22" s="327">
        <v>3000</v>
      </c>
      <c r="E22" s="327">
        <v>2500</v>
      </c>
      <c r="F22" s="463">
        <v>2500</v>
      </c>
      <c r="G22" s="463">
        <v>2500</v>
      </c>
      <c r="H22" s="463">
        <v>2500</v>
      </c>
      <c r="I22" s="463">
        <v>2500</v>
      </c>
      <c r="J22" s="463">
        <v>2500</v>
      </c>
      <c r="K22" s="463">
        <v>2500</v>
      </c>
      <c r="L22" s="463">
        <v>4000</v>
      </c>
      <c r="M22" s="463">
        <v>5000</v>
      </c>
      <c r="N22" s="463">
        <v>5000</v>
      </c>
      <c r="O22" s="463">
        <v>5000</v>
      </c>
    </row>
    <row r="23" spans="1:15" x14ac:dyDescent="0.2">
      <c r="A23" s="325" t="s">
        <v>401</v>
      </c>
      <c r="B23" s="326"/>
      <c r="C23" s="327">
        <v>900</v>
      </c>
      <c r="D23" s="327">
        <v>1500</v>
      </c>
      <c r="E23" s="327">
        <v>1500</v>
      </c>
      <c r="F23" s="463">
        <v>1500</v>
      </c>
      <c r="G23" s="463">
        <v>2500</v>
      </c>
      <c r="H23" s="463">
        <v>2500</v>
      </c>
      <c r="I23" s="463">
        <v>2500</v>
      </c>
      <c r="J23" s="463">
        <v>2500</v>
      </c>
      <c r="K23" s="463">
        <v>1500</v>
      </c>
      <c r="L23" s="463">
        <v>1500</v>
      </c>
      <c r="M23" s="463">
        <v>1500</v>
      </c>
      <c r="N23" s="463">
        <v>1600</v>
      </c>
      <c r="O23" s="463">
        <v>1600</v>
      </c>
    </row>
    <row r="24" spans="1:15" x14ac:dyDescent="0.2">
      <c r="A24" s="325" t="s">
        <v>637</v>
      </c>
      <c r="B24" s="326"/>
      <c r="C24" s="327"/>
      <c r="D24" s="327">
        <v>3000</v>
      </c>
      <c r="E24" s="327">
        <v>20000</v>
      </c>
      <c r="F24" s="463">
        <v>35000</v>
      </c>
      <c r="G24" s="463">
        <v>40000</v>
      </c>
      <c r="H24" s="463">
        <v>40000</v>
      </c>
      <c r="I24" s="463">
        <v>50000</v>
      </c>
      <c r="J24" s="463">
        <v>50000</v>
      </c>
      <c r="K24" s="463">
        <v>60000</v>
      </c>
      <c r="L24" s="463">
        <v>45000</v>
      </c>
      <c r="M24" s="463">
        <v>20000</v>
      </c>
      <c r="N24" s="463">
        <f>25000+50000</f>
        <v>75000</v>
      </c>
      <c r="O24" s="463">
        <v>20000</v>
      </c>
    </row>
    <row r="25" spans="1:15" x14ac:dyDescent="0.2">
      <c r="A25" s="325" t="s">
        <v>587</v>
      </c>
      <c r="B25" s="326"/>
      <c r="C25" s="327"/>
      <c r="D25" s="327"/>
      <c r="E25" s="327">
        <v>4700</v>
      </c>
      <c r="F25" s="463">
        <v>2500</v>
      </c>
      <c r="G25" s="463">
        <v>1500</v>
      </c>
      <c r="H25" s="463">
        <v>1500</v>
      </c>
      <c r="I25" s="463">
        <v>1500</v>
      </c>
      <c r="J25" s="463">
        <v>1500</v>
      </c>
      <c r="K25" s="463">
        <v>1500</v>
      </c>
      <c r="L25" s="463">
        <v>1500</v>
      </c>
      <c r="M25" s="463">
        <v>1500</v>
      </c>
      <c r="N25" s="463">
        <v>1600</v>
      </c>
      <c r="O25" s="463">
        <v>1200</v>
      </c>
    </row>
    <row r="26" spans="1:15" x14ac:dyDescent="0.2">
      <c r="A26" s="325" t="s">
        <v>638</v>
      </c>
      <c r="B26" s="326"/>
      <c r="C26" s="327"/>
      <c r="D26" s="327"/>
      <c r="E26" s="327">
        <v>13100</v>
      </c>
      <c r="F26" s="463">
        <v>11000</v>
      </c>
      <c r="G26" s="463">
        <v>11000</v>
      </c>
      <c r="H26" s="463">
        <v>11000</v>
      </c>
      <c r="I26" s="463">
        <v>12000</v>
      </c>
      <c r="J26" s="463">
        <v>15000</v>
      </c>
      <c r="K26" s="463">
        <v>15000</v>
      </c>
      <c r="L26" s="463">
        <v>15000</v>
      </c>
      <c r="M26" s="463">
        <v>15000</v>
      </c>
      <c r="N26" s="463">
        <v>15000</v>
      </c>
      <c r="O26" s="463">
        <v>15000</v>
      </c>
    </row>
    <row r="27" spans="1:15" x14ac:dyDescent="0.2">
      <c r="A27" s="325" t="s">
        <v>404</v>
      </c>
      <c r="B27" s="326"/>
      <c r="C27" s="327"/>
      <c r="D27" s="327"/>
      <c r="E27" s="327">
        <v>1450</v>
      </c>
      <c r="F27" s="463">
        <f>(40*25)+600</f>
        <v>1600</v>
      </c>
      <c r="G27" s="463">
        <v>2000</v>
      </c>
      <c r="H27" s="463">
        <v>2000</v>
      </c>
      <c r="I27" s="463">
        <v>2500</v>
      </c>
      <c r="J27" s="463">
        <v>2500</v>
      </c>
      <c r="K27" s="463">
        <v>1500</v>
      </c>
      <c r="L27" s="463">
        <v>1700</v>
      </c>
      <c r="M27" s="463">
        <v>1800</v>
      </c>
      <c r="N27" s="463">
        <v>1800</v>
      </c>
      <c r="O27" s="463">
        <v>1500</v>
      </c>
    </row>
    <row r="28" spans="1:15" x14ac:dyDescent="0.2">
      <c r="A28" s="325" t="s">
        <v>583</v>
      </c>
      <c r="B28" s="326"/>
      <c r="C28" s="327"/>
      <c r="D28" s="327"/>
      <c r="E28" s="327">
        <v>3900</v>
      </c>
      <c r="F28" s="463">
        <v>5000</v>
      </c>
      <c r="G28" s="463">
        <v>5000</v>
      </c>
      <c r="H28" s="463">
        <v>7000</v>
      </c>
      <c r="I28" s="463">
        <v>10000</v>
      </c>
      <c r="J28" s="463">
        <v>10000</v>
      </c>
      <c r="K28" s="463">
        <v>10000</v>
      </c>
      <c r="L28" s="463">
        <v>10000</v>
      </c>
      <c r="M28" s="463">
        <v>16000</v>
      </c>
      <c r="N28" s="463">
        <v>18000</v>
      </c>
      <c r="O28" s="463">
        <v>20000</v>
      </c>
    </row>
    <row r="29" spans="1:15" hidden="1" x14ac:dyDescent="0.2">
      <c r="A29" s="325" t="s">
        <v>447</v>
      </c>
      <c r="B29" s="326"/>
      <c r="C29" s="327"/>
      <c r="D29" s="327"/>
      <c r="E29" s="327"/>
      <c r="F29" s="463">
        <v>2800</v>
      </c>
      <c r="G29" s="463">
        <v>0</v>
      </c>
      <c r="H29" s="463">
        <v>0</v>
      </c>
      <c r="I29" s="463">
        <v>0</v>
      </c>
      <c r="J29" s="463">
        <v>0</v>
      </c>
      <c r="K29" s="463">
        <v>0</v>
      </c>
      <c r="L29" s="463">
        <v>0</v>
      </c>
      <c r="M29" s="463">
        <v>0</v>
      </c>
      <c r="N29" s="463">
        <v>0</v>
      </c>
      <c r="O29" s="463">
        <v>0</v>
      </c>
    </row>
    <row r="30" spans="1:15" hidden="1" x14ac:dyDescent="0.2">
      <c r="A30" s="325" t="s">
        <v>584</v>
      </c>
      <c r="B30" s="326"/>
      <c r="C30" s="327"/>
      <c r="D30" s="327"/>
      <c r="E30" s="327"/>
      <c r="F30" s="463">
        <v>0</v>
      </c>
      <c r="G30" s="463">
        <v>6000</v>
      </c>
      <c r="H30" s="463">
        <v>7000</v>
      </c>
      <c r="I30" s="463">
        <v>8000</v>
      </c>
      <c r="J30" s="463">
        <f>(295*16)+(90)+(195*16)</f>
        <v>7930</v>
      </c>
      <c r="K30" s="463">
        <f>(295*2)+(90)+(195*2)</f>
        <v>1070</v>
      </c>
      <c r="L30" s="463">
        <v>0</v>
      </c>
      <c r="M30" s="463">
        <v>0</v>
      </c>
      <c r="N30" s="463">
        <v>0</v>
      </c>
      <c r="O30" s="463">
        <v>0</v>
      </c>
    </row>
    <row r="31" spans="1:15" hidden="1" x14ac:dyDescent="0.2">
      <c r="A31" s="325" t="s">
        <v>504</v>
      </c>
      <c r="B31" s="326"/>
      <c r="C31" s="327"/>
      <c r="D31" s="327"/>
      <c r="E31" s="327"/>
      <c r="F31" s="463">
        <v>0</v>
      </c>
      <c r="G31" s="463">
        <v>0</v>
      </c>
      <c r="H31" s="463">
        <f>6500+1250+275</f>
        <v>8025</v>
      </c>
      <c r="I31" s="463">
        <v>0</v>
      </c>
      <c r="J31" s="463">
        <v>0</v>
      </c>
      <c r="K31" s="463">
        <v>0</v>
      </c>
      <c r="L31" s="463">
        <v>0</v>
      </c>
      <c r="M31" s="463">
        <v>0</v>
      </c>
      <c r="N31" s="463">
        <v>0</v>
      </c>
      <c r="O31" s="463">
        <v>0</v>
      </c>
    </row>
    <row r="32" spans="1:15" hidden="1" x14ac:dyDescent="0.2">
      <c r="A32" s="325" t="s">
        <v>585</v>
      </c>
      <c r="B32" s="326"/>
      <c r="C32" s="327"/>
      <c r="D32" s="327"/>
      <c r="E32" s="327"/>
      <c r="F32" s="463"/>
      <c r="G32" s="463"/>
      <c r="H32" s="463">
        <v>10000</v>
      </c>
      <c r="I32" s="463">
        <v>0</v>
      </c>
      <c r="J32" s="463">
        <v>0</v>
      </c>
      <c r="K32" s="463">
        <v>0</v>
      </c>
      <c r="L32" s="463">
        <v>0</v>
      </c>
      <c r="M32" s="463">
        <v>0</v>
      </c>
      <c r="N32" s="463">
        <v>0</v>
      </c>
      <c r="O32" s="463">
        <v>0</v>
      </c>
    </row>
    <row r="33" spans="1:15" x14ac:dyDescent="0.2">
      <c r="A33" s="325" t="s">
        <v>603</v>
      </c>
      <c r="B33" s="326"/>
      <c r="C33" s="327"/>
      <c r="D33" s="327"/>
      <c r="E33" s="327"/>
      <c r="F33" s="463"/>
      <c r="G33" s="463"/>
      <c r="H33" s="463">
        <v>0</v>
      </c>
      <c r="I33" s="463">
        <v>0</v>
      </c>
      <c r="J33" s="463">
        <f>12000+6000</f>
        <v>18000</v>
      </c>
      <c r="K33" s="463">
        <f>(12000+6000)*0.67</f>
        <v>12060</v>
      </c>
      <c r="L33" s="463">
        <f>(12000+6000)*0.67</f>
        <v>12060</v>
      </c>
      <c r="M33" s="463">
        <f>(12000+6000)*0.8</f>
        <v>14400</v>
      </c>
      <c r="N33" s="463">
        <f>(12000+6000)*0.8</f>
        <v>14400</v>
      </c>
      <c r="O33" s="463">
        <f>(12000+6000)*0.9</f>
        <v>16200</v>
      </c>
    </row>
    <row r="34" spans="1:15" hidden="1" x14ac:dyDescent="0.2">
      <c r="A34" s="325" t="s">
        <v>609</v>
      </c>
      <c r="B34" s="326"/>
      <c r="C34" s="327"/>
      <c r="D34" s="327"/>
      <c r="E34" s="327"/>
      <c r="F34" s="463"/>
      <c r="G34" s="463"/>
      <c r="H34" s="463">
        <v>0</v>
      </c>
      <c r="I34" s="463">
        <v>0</v>
      </c>
      <c r="J34" s="463">
        <v>1400</v>
      </c>
      <c r="K34" s="463">
        <v>0</v>
      </c>
      <c r="L34" s="463">
        <v>0</v>
      </c>
      <c r="M34" s="463"/>
      <c r="N34" s="463"/>
      <c r="O34" s="463"/>
    </row>
    <row r="35" spans="1:15" hidden="1" x14ac:dyDescent="0.2">
      <c r="A35" s="325" t="s">
        <v>610</v>
      </c>
      <c r="B35" s="326"/>
      <c r="C35" s="327"/>
      <c r="D35" s="327"/>
      <c r="E35" s="327"/>
      <c r="F35" s="463"/>
      <c r="G35" s="463"/>
      <c r="H35" s="463">
        <v>0</v>
      </c>
      <c r="I35" s="463">
        <v>0</v>
      </c>
      <c r="J35" s="463">
        <v>1100</v>
      </c>
      <c r="K35" s="463">
        <v>0</v>
      </c>
      <c r="L35" s="463">
        <v>0</v>
      </c>
      <c r="M35" s="463"/>
      <c r="N35" s="463"/>
      <c r="O35" s="463"/>
    </row>
    <row r="36" spans="1:15" hidden="1" x14ac:dyDescent="0.2">
      <c r="A36" s="325" t="s">
        <v>639</v>
      </c>
      <c r="B36" s="326"/>
      <c r="C36" s="327"/>
      <c r="D36" s="327"/>
      <c r="E36" s="327"/>
      <c r="F36" s="463"/>
      <c r="G36" s="463"/>
      <c r="H36" s="463"/>
      <c r="I36" s="463">
        <v>0</v>
      </c>
      <c r="J36" s="463"/>
      <c r="K36" s="463">
        <v>2200</v>
      </c>
      <c r="L36" s="463">
        <v>0</v>
      </c>
      <c r="M36" s="463">
        <v>0</v>
      </c>
      <c r="N36" s="463">
        <v>0</v>
      </c>
      <c r="O36" s="463">
        <v>0</v>
      </c>
    </row>
    <row r="37" spans="1:15" hidden="1" x14ac:dyDescent="0.2">
      <c r="A37" s="325" t="s">
        <v>649</v>
      </c>
      <c r="B37" s="326"/>
      <c r="C37" s="327"/>
      <c r="D37" s="327"/>
      <c r="E37" s="327"/>
      <c r="F37" s="463"/>
      <c r="G37" s="463"/>
      <c r="H37" s="463"/>
      <c r="I37" s="463"/>
      <c r="J37" s="463"/>
      <c r="K37" s="463"/>
      <c r="L37" s="463">
        <v>25000</v>
      </c>
      <c r="M37" s="463">
        <v>0</v>
      </c>
      <c r="N37" s="463">
        <v>0</v>
      </c>
      <c r="O37" s="463">
        <v>0</v>
      </c>
    </row>
    <row r="38" spans="1:15" hidden="1" x14ac:dyDescent="0.2">
      <c r="A38" s="325" t="s">
        <v>657</v>
      </c>
      <c r="B38" s="326"/>
      <c r="C38" s="327"/>
      <c r="D38" s="327"/>
      <c r="E38" s="327"/>
      <c r="F38" s="463"/>
      <c r="G38" s="463"/>
      <c r="H38" s="463"/>
      <c r="I38" s="463"/>
      <c r="J38" s="463"/>
      <c r="K38" s="463"/>
      <c r="L38" s="463">
        <v>28000</v>
      </c>
      <c r="M38" s="463">
        <v>0</v>
      </c>
      <c r="N38" s="463">
        <v>0</v>
      </c>
      <c r="O38" s="463">
        <v>0</v>
      </c>
    </row>
    <row r="39" spans="1:15" x14ac:dyDescent="0.2">
      <c r="A39" s="325" t="s">
        <v>683</v>
      </c>
      <c r="B39" s="326"/>
      <c r="C39" s="327"/>
      <c r="D39" s="327"/>
      <c r="E39" s="327"/>
      <c r="F39" s="463"/>
      <c r="G39" s="463"/>
      <c r="H39" s="463"/>
      <c r="I39" s="463"/>
      <c r="J39" s="463"/>
      <c r="K39" s="463"/>
      <c r="L39" s="463"/>
      <c r="M39" s="463">
        <f>3000</f>
        <v>3000</v>
      </c>
      <c r="N39" s="463">
        <f>3000</f>
        <v>3000</v>
      </c>
      <c r="O39" s="463">
        <v>4000</v>
      </c>
    </row>
    <row r="40" spans="1:15" x14ac:dyDescent="0.2">
      <c r="A40" s="325"/>
      <c r="B40" s="326"/>
      <c r="C40" s="327"/>
      <c r="D40" s="327"/>
      <c r="E40" s="327"/>
      <c r="F40" s="463"/>
      <c r="G40" s="463"/>
      <c r="H40" s="463"/>
      <c r="I40" s="463"/>
      <c r="J40" s="463"/>
      <c r="K40" s="463"/>
      <c r="L40" s="463"/>
      <c r="M40" s="463"/>
      <c r="N40" s="463"/>
      <c r="O40" s="463"/>
    </row>
    <row r="41" spans="1:15" x14ac:dyDescent="0.2">
      <c r="A41" s="325"/>
      <c r="B41" s="326"/>
      <c r="C41" s="327"/>
      <c r="D41" s="327"/>
      <c r="E41" s="327"/>
      <c r="F41" s="463"/>
      <c r="G41" s="463"/>
      <c r="H41" s="463"/>
      <c r="I41" s="463"/>
      <c r="J41" s="463"/>
      <c r="K41" s="463"/>
      <c r="L41" s="463"/>
      <c r="M41" s="463"/>
      <c r="N41" s="463"/>
      <c r="O41" s="463"/>
    </row>
    <row r="42" spans="1:15" x14ac:dyDescent="0.2">
      <c r="A42" s="343"/>
      <c r="B42" s="326">
        <v>-22000</v>
      </c>
      <c r="C42" s="327"/>
      <c r="D42" s="327"/>
      <c r="E42" s="327"/>
      <c r="F42" s="463"/>
      <c r="G42" s="463"/>
      <c r="H42" s="463"/>
      <c r="I42" s="463"/>
      <c r="J42" s="463"/>
      <c r="K42" s="463"/>
      <c r="L42" s="463"/>
      <c r="M42" s="463"/>
      <c r="N42" s="463"/>
      <c r="O42" s="463"/>
    </row>
    <row r="43" spans="1:15" ht="17.25" thickBot="1" x14ac:dyDescent="0.25">
      <c r="A43" s="329" t="s">
        <v>95</v>
      </c>
      <c r="B43" s="540">
        <f t="shared" ref="B43:J43" si="0">SUM(B4:B42)</f>
        <v>3610</v>
      </c>
      <c r="C43" s="540">
        <f t="shared" si="0"/>
        <v>36275</v>
      </c>
      <c r="D43" s="540">
        <f t="shared" si="0"/>
        <v>40615</v>
      </c>
      <c r="E43" s="540">
        <f t="shared" si="0"/>
        <v>58650</v>
      </c>
      <c r="F43" s="541">
        <f t="shared" si="0"/>
        <v>73400</v>
      </c>
      <c r="G43" s="541">
        <f t="shared" si="0"/>
        <v>84500</v>
      </c>
      <c r="H43" s="541">
        <f t="shared" si="0"/>
        <v>107525</v>
      </c>
      <c r="I43" s="541">
        <f t="shared" si="0"/>
        <v>105500</v>
      </c>
      <c r="J43" s="541">
        <f t="shared" si="0"/>
        <v>128930</v>
      </c>
      <c r="K43" s="541">
        <f>SUM(K4:K42)</f>
        <v>124330</v>
      </c>
      <c r="L43" s="541">
        <f>SUM(L4:L42)</f>
        <v>161760</v>
      </c>
      <c r="M43" s="541">
        <f>SUM(M4:M42)</f>
        <v>96200</v>
      </c>
      <c r="N43" s="541">
        <f>SUM(N4:N42)</f>
        <v>154300</v>
      </c>
      <c r="O43" s="541">
        <f>SUM(O4:O42)</f>
        <v>104800</v>
      </c>
    </row>
    <row r="44" spans="1:15" ht="17.25" thickTop="1" x14ac:dyDescent="0.2"/>
    <row r="45" spans="1:15" x14ac:dyDescent="0.2">
      <c r="A45" s="590"/>
    </row>
    <row r="46" spans="1:15" x14ac:dyDescent="0.2">
      <c r="A46" s="590"/>
    </row>
  </sheetData>
  <sortState xmlns:xlrd2="http://schemas.microsoft.com/office/spreadsheetml/2017/richdata2" ref="A30:E54">
    <sortCondition ref="A30:A54"/>
  </sortState>
  <phoneticPr fontId="21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67" customWidth="1"/>
    <col min="2" max="2" width="43.140625" style="45" customWidth="1"/>
    <col min="3" max="7" width="12" style="17" hidden="1" customWidth="1"/>
    <col min="8" max="8" width="12.85546875" style="17" hidden="1" customWidth="1"/>
    <col min="9" max="11" width="13.140625" style="17" hidden="1" customWidth="1"/>
    <col min="12" max="13" width="13.42578125" style="17" hidden="1" customWidth="1"/>
    <col min="14" max="16" width="13.42578125" style="17" customWidth="1"/>
    <col min="17" max="17" width="13.28515625" style="17" bestFit="1" customWidth="1"/>
    <col min="18" max="18" width="12.85546875" style="17" bestFit="1" customWidth="1"/>
    <col min="19" max="21" width="11.140625" style="17"/>
    <col min="22" max="22" width="14.42578125" style="17" bestFit="1" customWidth="1"/>
    <col min="23" max="16384" width="11.140625" style="17"/>
  </cols>
  <sheetData>
    <row r="1" spans="1:24" s="63" customFormat="1" ht="18.75" customHeight="1" x14ac:dyDescent="0.3">
      <c r="A1" s="333"/>
      <c r="B1" s="334" t="s">
        <v>371</v>
      </c>
      <c r="C1" s="334" t="s">
        <v>341</v>
      </c>
      <c r="D1" s="334" t="s">
        <v>342</v>
      </c>
      <c r="E1" s="334"/>
      <c r="F1" s="334"/>
      <c r="G1" s="334"/>
      <c r="H1" s="334"/>
      <c r="I1" s="334"/>
      <c r="J1" s="334"/>
      <c r="K1" s="595"/>
      <c r="L1" s="595"/>
      <c r="M1" s="595"/>
      <c r="N1" s="595"/>
      <c r="O1" s="595"/>
      <c r="P1" s="643"/>
    </row>
    <row r="2" spans="1:24" s="63" customFormat="1" ht="18.75" customHeight="1" x14ac:dyDescent="0.3">
      <c r="A2" s="564"/>
      <c r="B2" s="565" t="s">
        <v>97</v>
      </c>
      <c r="C2" s="566">
        <v>2010</v>
      </c>
      <c r="D2" s="566">
        <v>2013</v>
      </c>
      <c r="E2" s="567">
        <v>2014</v>
      </c>
      <c r="F2" s="567">
        <v>2015</v>
      </c>
      <c r="G2" s="567">
        <v>2016</v>
      </c>
      <c r="H2" s="567">
        <v>2017</v>
      </c>
      <c r="I2" s="567">
        <v>2018</v>
      </c>
      <c r="J2" s="588">
        <v>2019</v>
      </c>
      <c r="K2" s="567">
        <v>2020</v>
      </c>
      <c r="L2" s="567">
        <v>2021</v>
      </c>
      <c r="M2" s="567">
        <v>2022</v>
      </c>
      <c r="N2" s="567">
        <v>2023</v>
      </c>
      <c r="O2" s="567">
        <v>2024</v>
      </c>
      <c r="P2" s="567">
        <v>2025</v>
      </c>
      <c r="R2" s="63" t="s">
        <v>553</v>
      </c>
    </row>
    <row r="3" spans="1:24" s="193" customFormat="1" ht="24.95" customHeight="1" x14ac:dyDescent="0.3">
      <c r="A3" s="92">
        <v>407</v>
      </c>
      <c r="B3" s="25" t="s">
        <v>170</v>
      </c>
      <c r="C3" s="568">
        <v>6797.47</v>
      </c>
      <c r="D3" s="569">
        <v>7500</v>
      </c>
      <c r="E3" s="568">
        <v>15200</v>
      </c>
      <c r="F3" s="568">
        <v>11100</v>
      </c>
      <c r="G3" s="568">
        <v>8700</v>
      </c>
      <c r="H3" s="568">
        <f>4050*2</f>
        <v>8100</v>
      </c>
      <c r="I3" s="568">
        <f>4050*2</f>
        <v>8100</v>
      </c>
      <c r="J3" s="456">
        <f>18800*2</f>
        <v>37600</v>
      </c>
      <c r="K3" s="563">
        <f>(66000*2)-40000</f>
        <v>92000</v>
      </c>
      <c r="L3" s="563">
        <v>80000</v>
      </c>
      <c r="M3" s="563">
        <v>20000</v>
      </c>
      <c r="N3" s="563">
        <v>15000</v>
      </c>
      <c r="O3" s="563">
        <v>300000</v>
      </c>
      <c r="P3" s="563">
        <v>450000</v>
      </c>
      <c r="Q3" s="398"/>
      <c r="R3" s="593">
        <f>P3/P24</f>
        <v>4.9082510255368507E-2</v>
      </c>
    </row>
    <row r="4" spans="1:24" s="63" customFormat="1" ht="31.5" customHeight="1" x14ac:dyDescent="0.3">
      <c r="A4" s="92" t="s">
        <v>63</v>
      </c>
      <c r="B4" s="570" t="s">
        <v>628</v>
      </c>
      <c r="C4" s="517">
        <v>2079268.31</v>
      </c>
      <c r="D4" s="571">
        <v>2024884</v>
      </c>
      <c r="E4" s="517">
        <v>2073137</v>
      </c>
      <c r="F4" s="517">
        <v>2140914</v>
      </c>
      <c r="G4" s="517">
        <f>25855208.63*0.09</f>
        <v>2326968.7766999998</v>
      </c>
      <c r="H4" s="517">
        <f>28818430.97*0.1</f>
        <v>2881843.0970000001</v>
      </c>
      <c r="I4" s="517">
        <f>30191851.95*0.1</f>
        <v>3019185.1950000003</v>
      </c>
      <c r="J4" s="456">
        <f>32812364.67*0.0975</f>
        <v>3199205.5553250001</v>
      </c>
      <c r="K4" s="456">
        <f>35053870.41*0.08</f>
        <v>2804309.6327999998</v>
      </c>
      <c r="L4" s="456">
        <f>36178493.88*0.079</f>
        <v>2858101.0165200001</v>
      </c>
      <c r="M4" s="456">
        <f>40158786.78*0.065</f>
        <v>2610321.1407000003</v>
      </c>
      <c r="N4" s="456">
        <f>49368006.25*0.045</f>
        <v>2221560.28125</v>
      </c>
      <c r="O4" s="456">
        <f>54104541.71*0.04</f>
        <v>2164181.6683999998</v>
      </c>
      <c r="P4" s="456">
        <f>59544355.87*0.053</f>
        <v>3155850.8611099999</v>
      </c>
      <c r="Q4" s="600"/>
      <c r="R4" s="593">
        <f>P4/P24</f>
        <v>0.34421573834410024</v>
      </c>
      <c r="T4" s="694"/>
      <c r="U4" s="694"/>
      <c r="V4" s="694"/>
      <c r="W4" s="694"/>
      <c r="X4" s="694"/>
    </row>
    <row r="5" spans="1:24" s="63" customFormat="1" ht="24.95" hidden="1" customHeight="1" x14ac:dyDescent="0.3">
      <c r="A5" s="92" t="s">
        <v>64</v>
      </c>
      <c r="B5" s="25" t="s">
        <v>66</v>
      </c>
      <c r="C5" s="395">
        <v>17084.2</v>
      </c>
      <c r="D5" s="572">
        <v>10175</v>
      </c>
      <c r="E5" s="395"/>
      <c r="F5" s="395"/>
      <c r="G5" s="395"/>
      <c r="H5" s="395"/>
      <c r="I5" s="395"/>
      <c r="J5" s="574"/>
      <c r="K5" s="601">
        <v>0</v>
      </c>
      <c r="L5" s="601">
        <v>0</v>
      </c>
      <c r="M5" s="601">
        <v>0</v>
      </c>
      <c r="N5" s="601"/>
      <c r="O5" s="601">
        <v>0</v>
      </c>
      <c r="P5" s="601">
        <v>0</v>
      </c>
      <c r="Q5" s="600"/>
      <c r="T5" s="694"/>
      <c r="U5" s="694"/>
      <c r="V5" s="694"/>
      <c r="W5" s="694"/>
      <c r="X5" s="694"/>
    </row>
    <row r="6" spans="1:24" s="63" customFormat="1" ht="24.95" hidden="1" customHeight="1" x14ac:dyDescent="0.3">
      <c r="A6" s="92" t="s">
        <v>65</v>
      </c>
      <c r="B6" s="25" t="s">
        <v>56</v>
      </c>
      <c r="C6" s="396">
        <v>384.14</v>
      </c>
      <c r="D6" s="573"/>
      <c r="E6" s="396"/>
      <c r="F6" s="396"/>
      <c r="G6" s="396"/>
      <c r="H6" s="396"/>
      <c r="I6" s="396"/>
      <c r="J6" s="587"/>
      <c r="K6" s="599">
        <v>0</v>
      </c>
      <c r="L6" s="599">
        <v>0</v>
      </c>
      <c r="M6" s="599">
        <v>0</v>
      </c>
      <c r="N6" s="599"/>
      <c r="O6" s="599">
        <v>0</v>
      </c>
      <c r="P6" s="599">
        <v>0</v>
      </c>
      <c r="Q6" s="600"/>
      <c r="R6" s="593"/>
      <c r="T6" s="694"/>
      <c r="U6" s="694"/>
      <c r="V6" s="694"/>
      <c r="W6" s="694"/>
      <c r="X6" s="694"/>
    </row>
    <row r="7" spans="1:24" s="63" customFormat="1" ht="24.95" customHeight="1" x14ac:dyDescent="0.3">
      <c r="A7" s="92">
        <v>415</v>
      </c>
      <c r="B7" s="25" t="s">
        <v>67</v>
      </c>
      <c r="C7" s="568">
        <v>1593158.56</v>
      </c>
      <c r="D7" s="569">
        <v>1644578</v>
      </c>
      <c r="E7" s="568">
        <v>1685692</v>
      </c>
      <c r="F7" s="568">
        <v>2187099</v>
      </c>
      <c r="G7" s="568">
        <f>2191383+200000</f>
        <v>2391383</v>
      </c>
      <c r="H7" s="568">
        <f>G7*1.04</f>
        <v>2487038.3200000003</v>
      </c>
      <c r="I7" s="568">
        <f>H7*1.045</f>
        <v>2598955.0444</v>
      </c>
      <c r="J7" s="456">
        <f>(I7*1.05)-(675000*0.75)-(46000*0.85)</f>
        <v>2183552.7966200002</v>
      </c>
      <c r="K7" s="456">
        <v>3027730</v>
      </c>
      <c r="L7" s="456">
        <v>3027730</v>
      </c>
      <c r="M7" s="456">
        <f>((307394+343019+350770+348364+378720+308329+281826+492495+431322+446388+465749+311596)*0.88)</f>
        <v>3930055.36</v>
      </c>
      <c r="N7" s="456">
        <f>((415501+462365+493015+475924+429775+395443+356380+512476+532652+532030+535990+510564)*0.9)</f>
        <v>5086903.5</v>
      </c>
      <c r="O7" s="456">
        <f>((535990+435732+473139+534450+513548+503201+471711+415831+408313+487513+618526+(2242925-1629189))*0.835)</f>
        <v>5019761.1499999994</v>
      </c>
      <c r="P7" s="456">
        <f>((463850+550031+473926+537490+495288+482206+412888+518471+599214+538869+513982+518910)*0.875)</f>
        <v>5341984.375</v>
      </c>
      <c r="Q7" s="399"/>
      <c r="R7" s="593">
        <f>P7/P24</f>
        <v>0.58266222859990191</v>
      </c>
      <c r="S7" s="392"/>
      <c r="T7" s="694"/>
      <c r="U7" s="695"/>
      <c r="V7" s="695"/>
      <c r="W7" s="694"/>
      <c r="X7" s="694"/>
    </row>
    <row r="8" spans="1:24" s="63" customFormat="1" ht="24.95" customHeight="1" x14ac:dyDescent="0.3">
      <c r="A8" s="92">
        <v>435</v>
      </c>
      <c r="B8" s="25" t="s">
        <v>57</v>
      </c>
      <c r="C8" s="517">
        <v>2650</v>
      </c>
      <c r="D8" s="571">
        <v>2900</v>
      </c>
      <c r="E8" s="517">
        <v>2900</v>
      </c>
      <c r="F8" s="517">
        <v>3600</v>
      </c>
      <c r="G8" s="517">
        <v>3600</v>
      </c>
      <c r="H8" s="517">
        <v>3600</v>
      </c>
      <c r="I8" s="517">
        <v>3600</v>
      </c>
      <c r="J8" s="456">
        <f>1500*2</f>
        <v>3000</v>
      </c>
      <c r="K8" s="456">
        <f>3000</f>
        <v>3000</v>
      </c>
      <c r="L8" s="456">
        <f>3000</f>
        <v>3000</v>
      </c>
      <c r="M8" s="456">
        <v>1500</v>
      </c>
      <c r="N8" s="456">
        <f>2000</f>
        <v>2000</v>
      </c>
      <c r="O8" s="456">
        <f>40*50</f>
        <v>2000</v>
      </c>
      <c r="P8" s="456">
        <f>40*50</f>
        <v>2000</v>
      </c>
      <c r="Q8" s="647">
        <f>SUM(P8:P9)</f>
        <v>37000</v>
      </c>
      <c r="R8" s="593">
        <f>P8/P24</f>
        <v>2.1814449002386003E-4</v>
      </c>
      <c r="T8" s="694"/>
      <c r="U8" s="695"/>
      <c r="V8" s="695"/>
      <c r="W8" s="694"/>
      <c r="X8" s="694"/>
    </row>
    <row r="9" spans="1:24" s="63" customFormat="1" ht="24.95" customHeight="1" x14ac:dyDescent="0.3">
      <c r="A9" s="92">
        <v>435</v>
      </c>
      <c r="B9" s="25" t="s">
        <v>58</v>
      </c>
      <c r="C9" s="395">
        <v>1490</v>
      </c>
      <c r="D9" s="572">
        <v>10000</v>
      </c>
      <c r="E9" s="395">
        <v>7000</v>
      </c>
      <c r="F9" s="395">
        <f>5000+3000</f>
        <v>8000</v>
      </c>
      <c r="G9" s="395">
        <v>8000</v>
      </c>
      <c r="H9" s="395">
        <v>10000</v>
      </c>
      <c r="I9" s="395">
        <v>10000</v>
      </c>
      <c r="J9" s="456">
        <f>3300*2</f>
        <v>6600</v>
      </c>
      <c r="K9" s="456">
        <f>35000</f>
        <v>35000</v>
      </c>
      <c r="L9" s="456">
        <f>35000</f>
        <v>35000</v>
      </c>
      <c r="M9" s="456">
        <f>35000</f>
        <v>35000</v>
      </c>
      <c r="N9" s="456">
        <f>35000</f>
        <v>35000</v>
      </c>
      <c r="O9" s="456">
        <f>35000</f>
        <v>35000</v>
      </c>
      <c r="P9" s="456">
        <f>35000</f>
        <v>35000</v>
      </c>
      <c r="Q9" s="648"/>
      <c r="R9" s="593">
        <f>P9/P24</f>
        <v>3.8175285754175506E-3</v>
      </c>
      <c r="T9" s="694"/>
      <c r="U9" s="695"/>
      <c r="V9" s="695"/>
      <c r="W9" s="694"/>
      <c r="X9" s="694"/>
    </row>
    <row r="10" spans="1:24" s="63" customFormat="1" ht="24.95" hidden="1" customHeight="1" x14ac:dyDescent="0.3">
      <c r="A10" s="92">
        <v>450</v>
      </c>
      <c r="B10" s="25" t="s">
        <v>327</v>
      </c>
      <c r="C10" s="396">
        <v>448</v>
      </c>
      <c r="D10" s="573">
        <v>500</v>
      </c>
      <c r="E10" s="396">
        <v>200</v>
      </c>
      <c r="F10" s="396">
        <v>200</v>
      </c>
      <c r="G10" s="396">
        <v>100</v>
      </c>
      <c r="H10" s="396">
        <v>0</v>
      </c>
      <c r="I10" s="396">
        <v>0</v>
      </c>
      <c r="J10" s="456"/>
      <c r="K10" s="456">
        <v>0</v>
      </c>
      <c r="L10" s="456">
        <v>0</v>
      </c>
      <c r="M10" s="456">
        <v>0</v>
      </c>
      <c r="N10" s="456"/>
      <c r="O10" s="456">
        <v>0</v>
      </c>
      <c r="P10" s="456">
        <v>0</v>
      </c>
      <c r="Q10" s="649"/>
      <c r="R10" s="593">
        <f>K10/K24</f>
        <v>0</v>
      </c>
      <c r="T10" s="694"/>
      <c r="U10" s="695"/>
      <c r="V10" s="695"/>
      <c r="W10" s="694"/>
      <c r="X10" s="694"/>
    </row>
    <row r="11" spans="1:24" s="63" customFormat="1" ht="24.95" customHeight="1" x14ac:dyDescent="0.3">
      <c r="A11" s="92">
        <v>460</v>
      </c>
      <c r="B11" s="25" t="s">
        <v>195</v>
      </c>
      <c r="C11" s="517">
        <v>450</v>
      </c>
      <c r="D11" s="571">
        <v>4000</v>
      </c>
      <c r="E11" s="517">
        <v>4000</v>
      </c>
      <c r="F11" s="517">
        <v>2000</v>
      </c>
      <c r="G11" s="517">
        <v>2000</v>
      </c>
      <c r="H11" s="517">
        <v>2000</v>
      </c>
      <c r="I11" s="517">
        <v>2000</v>
      </c>
      <c r="J11" s="456">
        <v>200</v>
      </c>
      <c r="K11" s="456">
        <v>8000</v>
      </c>
      <c r="L11" s="456">
        <v>8000</v>
      </c>
      <c r="M11" s="456">
        <v>8000</v>
      </c>
      <c r="N11" s="456">
        <f>8000</f>
        <v>8000</v>
      </c>
      <c r="O11" s="456">
        <v>8000</v>
      </c>
      <c r="P11" s="456">
        <v>8000</v>
      </c>
      <c r="Q11" s="647">
        <f>SUM(P11:P13)</f>
        <v>98000</v>
      </c>
      <c r="R11" s="593">
        <f>P11/P24</f>
        <v>8.7257796009544014E-4</v>
      </c>
      <c r="T11" s="694"/>
      <c r="U11" s="695"/>
      <c r="V11" s="695"/>
      <c r="W11" s="694"/>
      <c r="X11" s="694"/>
    </row>
    <row r="12" spans="1:24" s="63" customFormat="1" ht="24.95" customHeight="1" x14ac:dyDescent="0.3">
      <c r="A12" s="92">
        <v>470</v>
      </c>
      <c r="B12" s="570" t="s">
        <v>460</v>
      </c>
      <c r="C12" s="395">
        <v>124555</v>
      </c>
      <c r="D12" s="572">
        <v>144000</v>
      </c>
      <c r="E12" s="395">
        <v>147600</v>
      </c>
      <c r="F12" s="395">
        <f>30*4050</f>
        <v>121500</v>
      </c>
      <c r="G12" s="395">
        <f>28*4050</f>
        <v>113400</v>
      </c>
      <c r="H12" s="395">
        <v>97200</v>
      </c>
      <c r="I12" s="395">
        <v>97200</v>
      </c>
      <c r="J12" s="456">
        <v>76750</v>
      </c>
      <c r="K12" s="456">
        <v>76750</v>
      </c>
      <c r="L12" s="456">
        <v>76750</v>
      </c>
      <c r="M12" s="456">
        <v>76750</v>
      </c>
      <c r="N12" s="456">
        <f>78000</f>
        <v>78000</v>
      </c>
      <c r="O12" s="456">
        <v>78000</v>
      </c>
      <c r="P12" s="456">
        <v>78000</v>
      </c>
      <c r="Q12" s="648"/>
      <c r="R12" s="593">
        <f>P12/P24</f>
        <v>8.507635110930542E-3</v>
      </c>
      <c r="T12" s="694"/>
      <c r="U12" s="694"/>
      <c r="V12" s="694"/>
      <c r="W12" s="694"/>
      <c r="X12" s="694"/>
    </row>
    <row r="13" spans="1:24" s="63" customFormat="1" ht="24.75" customHeight="1" x14ac:dyDescent="0.3">
      <c r="A13" s="92">
        <v>471</v>
      </c>
      <c r="B13" s="570" t="s">
        <v>761</v>
      </c>
      <c r="C13" s="396">
        <v>34455.75</v>
      </c>
      <c r="D13" s="573">
        <v>42000</v>
      </c>
      <c r="E13" s="396">
        <v>49200</v>
      </c>
      <c r="F13" s="396">
        <f>48*1100</f>
        <v>52800</v>
      </c>
      <c r="G13" s="396">
        <f>48*1100</f>
        <v>52800</v>
      </c>
      <c r="H13" s="396">
        <v>35200</v>
      </c>
      <c r="I13" s="396">
        <v>35200</v>
      </c>
      <c r="J13" s="456">
        <v>24000</v>
      </c>
      <c r="K13" s="456">
        <v>24000</v>
      </c>
      <c r="L13" s="456">
        <v>24000</v>
      </c>
      <c r="M13" s="456">
        <v>24000</v>
      </c>
      <c r="N13" s="456">
        <f>24000</f>
        <v>24000</v>
      </c>
      <c r="O13" s="456">
        <v>12000</v>
      </c>
      <c r="P13" s="456">
        <v>12000</v>
      </c>
      <c r="Q13" s="649"/>
      <c r="R13" s="593">
        <f>P13/P24</f>
        <v>1.3088669401431603E-3</v>
      </c>
      <c r="T13" s="694"/>
      <c r="U13" s="694"/>
      <c r="V13" s="694"/>
      <c r="W13" s="694"/>
      <c r="X13" s="694"/>
    </row>
    <row r="14" spans="1:24" s="63" customFormat="1" ht="30" hidden="1" customHeight="1" x14ac:dyDescent="0.3">
      <c r="A14" s="92">
        <v>475</v>
      </c>
      <c r="B14" s="570" t="s">
        <v>59</v>
      </c>
      <c r="C14" s="456">
        <v>6488.95</v>
      </c>
      <c r="D14" s="569">
        <v>10100</v>
      </c>
      <c r="E14" s="568">
        <v>15000</v>
      </c>
      <c r="F14" s="568"/>
      <c r="G14" s="568"/>
      <c r="H14" s="568"/>
      <c r="I14" s="568"/>
      <c r="J14" s="456"/>
      <c r="K14" s="456"/>
      <c r="L14" s="456"/>
      <c r="M14" s="456"/>
      <c r="N14" s="456"/>
      <c r="O14" s="456"/>
      <c r="P14" s="456"/>
      <c r="Q14" s="399"/>
      <c r="R14" s="593" t="e">
        <f>K14/J35</f>
        <v>#DIV/0!</v>
      </c>
      <c r="T14" s="694"/>
      <c r="U14" s="694"/>
      <c r="V14" s="694"/>
      <c r="W14" s="694"/>
      <c r="X14" s="694"/>
    </row>
    <row r="15" spans="1:24" s="63" customFormat="1" ht="24.95" customHeight="1" x14ac:dyDescent="0.3">
      <c r="A15" s="92">
        <v>477</v>
      </c>
      <c r="B15" s="25" t="s">
        <v>196</v>
      </c>
      <c r="C15" s="517">
        <v>2500</v>
      </c>
      <c r="D15" s="571">
        <v>0</v>
      </c>
      <c r="E15" s="517"/>
      <c r="F15" s="517"/>
      <c r="G15" s="517"/>
      <c r="H15" s="517">
        <v>0</v>
      </c>
      <c r="I15" s="517">
        <v>0</v>
      </c>
      <c r="J15" s="456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647">
        <f>SUM(P15:P16)</f>
        <v>3000</v>
      </c>
      <c r="R15" s="593">
        <f>P15/P24</f>
        <v>0</v>
      </c>
      <c r="T15" s="694"/>
      <c r="U15" s="694"/>
      <c r="V15" s="694"/>
      <c r="W15" s="694"/>
      <c r="X15" s="694"/>
    </row>
    <row r="16" spans="1:24" s="63" customFormat="1" ht="24.95" customHeight="1" x14ac:dyDescent="0.3">
      <c r="A16" s="92">
        <v>480</v>
      </c>
      <c r="B16" s="25" t="s">
        <v>192</v>
      </c>
      <c r="C16" s="396">
        <v>1250</v>
      </c>
      <c r="D16" s="573">
        <v>2500</v>
      </c>
      <c r="E16" s="396">
        <v>2500</v>
      </c>
      <c r="F16" s="396">
        <v>2500</v>
      </c>
      <c r="G16" s="396">
        <v>2500</v>
      </c>
      <c r="H16" s="396">
        <v>2500</v>
      </c>
      <c r="I16" s="396">
        <v>2500</v>
      </c>
      <c r="J16" s="456">
        <v>3500</v>
      </c>
      <c r="K16" s="456">
        <v>3500</v>
      </c>
      <c r="L16" s="456">
        <v>3500</v>
      </c>
      <c r="M16" s="456">
        <v>3000</v>
      </c>
      <c r="N16" s="456">
        <f>3000</f>
        <v>3000</v>
      </c>
      <c r="O16" s="456">
        <v>3000</v>
      </c>
      <c r="P16" s="456">
        <v>3000</v>
      </c>
      <c r="Q16" s="649"/>
      <c r="R16" s="593">
        <f>P16/P24</f>
        <v>3.2721673503579007E-4</v>
      </c>
      <c r="T16" s="694"/>
      <c r="U16" s="694"/>
      <c r="V16" s="696"/>
      <c r="W16" s="694"/>
      <c r="X16" s="694"/>
    </row>
    <row r="17" spans="1:24" s="63" customFormat="1" ht="24.95" customHeight="1" x14ac:dyDescent="0.3">
      <c r="A17" s="92">
        <v>485</v>
      </c>
      <c r="B17" s="25" t="s">
        <v>60</v>
      </c>
      <c r="C17" s="517">
        <v>124</v>
      </c>
      <c r="D17" s="571">
        <v>0</v>
      </c>
      <c r="E17" s="517">
        <v>300000</v>
      </c>
      <c r="F17" s="517"/>
      <c r="G17" s="517">
        <v>775000</v>
      </c>
      <c r="H17" s="517">
        <v>695000</v>
      </c>
      <c r="I17" s="517">
        <v>0</v>
      </c>
      <c r="J17" s="456">
        <v>0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56">
        <v>0</v>
      </c>
      <c r="Q17" s="647">
        <f>SUM(P17:P21)</f>
        <v>82400</v>
      </c>
      <c r="R17" s="593">
        <f>P17/P24</f>
        <v>0</v>
      </c>
      <c r="T17" s="694"/>
      <c r="U17" s="694"/>
      <c r="V17" s="694"/>
      <c r="W17" s="694"/>
      <c r="X17" s="694"/>
    </row>
    <row r="18" spans="1:24" s="63" customFormat="1" ht="24.95" customHeight="1" x14ac:dyDescent="0.3">
      <c r="A18" s="92">
        <v>487</v>
      </c>
      <c r="B18" s="25" t="s">
        <v>463</v>
      </c>
      <c r="C18" s="574">
        <v>2280.4</v>
      </c>
      <c r="D18" s="572">
        <v>3400</v>
      </c>
      <c r="E18" s="395">
        <v>2200</v>
      </c>
      <c r="F18" s="395">
        <v>2400</v>
      </c>
      <c r="G18" s="395">
        <v>2000</v>
      </c>
      <c r="H18" s="395">
        <v>2000</v>
      </c>
      <c r="I18" s="395">
        <v>2000</v>
      </c>
      <c r="J18" s="456">
        <f>650*2</f>
        <v>1300</v>
      </c>
      <c r="K18" s="456">
        <f>800*2</f>
        <v>1600</v>
      </c>
      <c r="L18" s="456">
        <f>800*2</f>
        <v>1600</v>
      </c>
      <c r="M18" s="456">
        <f>800*2</f>
        <v>1600</v>
      </c>
      <c r="N18" s="456">
        <f>400*2</f>
        <v>800</v>
      </c>
      <c r="O18" s="456">
        <f>400*2</f>
        <v>800</v>
      </c>
      <c r="P18" s="456">
        <v>0</v>
      </c>
      <c r="Q18" s="648"/>
      <c r="R18" s="593">
        <f>P18/P24</f>
        <v>0</v>
      </c>
      <c r="T18" s="694"/>
      <c r="U18" s="694"/>
      <c r="V18" s="694"/>
      <c r="W18" s="694"/>
      <c r="X18" s="694"/>
    </row>
    <row r="19" spans="1:24" s="63" customFormat="1" ht="24.95" customHeight="1" x14ac:dyDescent="0.3">
      <c r="A19" s="92">
        <v>490</v>
      </c>
      <c r="B19" s="25" t="s">
        <v>61</v>
      </c>
      <c r="C19" s="395">
        <v>6004.64</v>
      </c>
      <c r="D19" s="572">
        <v>0</v>
      </c>
      <c r="E19" s="395"/>
      <c r="F19" s="395"/>
      <c r="G19" s="395">
        <v>0</v>
      </c>
      <c r="H19" s="395">
        <v>0</v>
      </c>
      <c r="I19" s="395">
        <v>0</v>
      </c>
      <c r="J19" s="456">
        <v>0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0</v>
      </c>
      <c r="Q19" s="648"/>
      <c r="R19" s="593">
        <f>P19/P24</f>
        <v>0</v>
      </c>
      <c r="T19" s="694"/>
      <c r="U19" s="694"/>
      <c r="V19" s="694"/>
      <c r="W19" s="694"/>
      <c r="X19" s="694"/>
    </row>
    <row r="20" spans="1:24" s="63" customFormat="1" ht="24.95" customHeight="1" x14ac:dyDescent="0.3">
      <c r="A20" s="92">
        <v>493</v>
      </c>
      <c r="B20" s="25" t="s">
        <v>292</v>
      </c>
      <c r="C20" s="395">
        <v>276.60000000000002</v>
      </c>
      <c r="D20" s="572">
        <v>0</v>
      </c>
      <c r="E20" s="395"/>
      <c r="F20" s="395"/>
      <c r="G20" s="395">
        <v>0</v>
      </c>
      <c r="H20" s="395">
        <v>0</v>
      </c>
      <c r="I20" s="395">
        <v>0</v>
      </c>
      <c r="J20" s="456">
        <v>0</v>
      </c>
      <c r="K20" s="456">
        <f>1748050-1400000</f>
        <v>348050</v>
      </c>
      <c r="L20" s="456">
        <f>'663 BOND DEBT SVC'!K15+1400000</f>
        <v>1743900</v>
      </c>
      <c r="M20" s="456">
        <v>344600</v>
      </c>
      <c r="N20" s="456">
        <f>54000+350000</f>
        <v>404000</v>
      </c>
      <c r="O20" s="456">
        <f>2475+85000+2475</f>
        <v>89950</v>
      </c>
      <c r="P20" s="456">
        <f>1200+80000+1200</f>
        <v>82400</v>
      </c>
      <c r="Q20" s="648"/>
      <c r="R20" s="593">
        <f>P20/P24</f>
        <v>8.9875529889830337E-3</v>
      </c>
    </row>
    <row r="21" spans="1:24" s="63" customFormat="1" ht="24.95" customHeight="1" x14ac:dyDescent="0.3">
      <c r="A21" s="92">
        <v>499</v>
      </c>
      <c r="B21" s="25" t="s">
        <v>62</v>
      </c>
      <c r="C21" s="396"/>
      <c r="D21" s="573">
        <v>55000</v>
      </c>
      <c r="E21" s="396">
        <v>80000</v>
      </c>
      <c r="F21" s="396"/>
      <c r="G21" s="396">
        <f>25000+5000</f>
        <v>30000</v>
      </c>
      <c r="H21" s="396">
        <v>0</v>
      </c>
      <c r="I21" s="396">
        <v>0</v>
      </c>
      <c r="J21" s="456">
        <v>0</v>
      </c>
      <c r="K21" s="456">
        <v>0</v>
      </c>
      <c r="L21" s="456">
        <v>5000</v>
      </c>
      <c r="M21" s="456">
        <v>0</v>
      </c>
      <c r="N21" s="456">
        <v>0</v>
      </c>
      <c r="O21" s="456">
        <v>0</v>
      </c>
      <c r="P21" s="456">
        <v>0</v>
      </c>
      <c r="Q21" s="649"/>
      <c r="R21" s="593">
        <f>P21/P24</f>
        <v>0</v>
      </c>
    </row>
    <row r="22" spans="1:24" s="63" customFormat="1" ht="24.95" hidden="1" customHeight="1" x14ac:dyDescent="0.3">
      <c r="A22" s="92">
        <v>495</v>
      </c>
      <c r="B22" s="575" t="s">
        <v>275</v>
      </c>
      <c r="C22" s="574">
        <v>0</v>
      </c>
      <c r="D22" s="569">
        <v>0</v>
      </c>
      <c r="E22" s="568"/>
      <c r="F22" s="568"/>
      <c r="G22" s="568"/>
      <c r="H22" s="568"/>
      <c r="I22" s="568"/>
      <c r="J22" s="416"/>
      <c r="K22" s="416"/>
      <c r="L22" s="416"/>
      <c r="M22" s="416"/>
      <c r="N22" s="416"/>
      <c r="O22" s="416"/>
      <c r="P22" s="416"/>
      <c r="Q22" s="400"/>
    </row>
    <row r="23" spans="1:24" s="63" customFormat="1" ht="13.5" customHeight="1" thickBot="1" x14ac:dyDescent="0.35">
      <c r="A23" s="576"/>
      <c r="B23" s="577"/>
      <c r="C23" s="36"/>
      <c r="D23" s="569"/>
      <c r="E23" s="568"/>
      <c r="F23" s="568"/>
      <c r="G23" s="568"/>
      <c r="H23" s="568"/>
      <c r="I23" s="568"/>
      <c r="J23" s="589"/>
      <c r="K23" s="589"/>
      <c r="L23" s="589"/>
      <c r="M23" s="589"/>
      <c r="N23" s="589"/>
      <c r="O23" s="589"/>
      <c r="P23" s="589"/>
      <c r="Q23" s="400"/>
    </row>
    <row r="24" spans="1:24" s="63" customFormat="1" ht="18.75" customHeight="1" thickTop="1" x14ac:dyDescent="0.3">
      <c r="A24" s="578"/>
      <c r="B24" s="170" t="s">
        <v>95</v>
      </c>
      <c r="C24" s="468">
        <f t="shared" ref="C24:I24" si="0">SUM(C3:C23)</f>
        <v>3879666.0200000005</v>
      </c>
      <c r="D24" s="61">
        <f t="shared" si="0"/>
        <v>3961537</v>
      </c>
      <c r="E24" s="468">
        <f t="shared" si="0"/>
        <v>4384629</v>
      </c>
      <c r="F24" s="468">
        <f t="shared" si="0"/>
        <v>4532113</v>
      </c>
      <c r="G24" s="468">
        <f t="shared" si="0"/>
        <v>5716451.7766999993</v>
      </c>
      <c r="H24" s="468">
        <f>SUM(H3:H23)</f>
        <v>6224481.4170000004</v>
      </c>
      <c r="I24" s="468">
        <f t="shared" si="0"/>
        <v>5778740.2394000003</v>
      </c>
      <c r="J24" s="468">
        <f t="shared" ref="J24:O24" si="1">SUM(J3:J23)</f>
        <v>5535708.3519449998</v>
      </c>
      <c r="K24" s="468">
        <f t="shared" si="1"/>
        <v>6423939.6327999998</v>
      </c>
      <c r="L24" s="468">
        <f t="shared" si="1"/>
        <v>7866581.0165200001</v>
      </c>
      <c r="M24" s="468">
        <f t="shared" si="1"/>
        <v>7054826.5007000007</v>
      </c>
      <c r="N24" s="468">
        <f t="shared" si="1"/>
        <v>7878263.78125</v>
      </c>
      <c r="O24" s="468">
        <f t="shared" si="1"/>
        <v>7712692.8183999993</v>
      </c>
      <c r="P24" s="468">
        <f t="shared" ref="P24" si="2">SUM(P3:P23)</f>
        <v>9168235.2361099999</v>
      </c>
      <c r="Q24" s="400"/>
    </row>
    <row r="25" spans="1:24" s="63" customFormat="1" ht="16.5" x14ac:dyDescent="0.3">
      <c r="A25" s="67"/>
      <c r="B25" s="11"/>
      <c r="C25" s="36"/>
      <c r="D25" s="36"/>
    </row>
    <row r="26" spans="1:24" ht="12.95" customHeight="1" x14ac:dyDescent="0.25">
      <c r="A26" s="17"/>
      <c r="B26" s="17"/>
    </row>
    <row r="27" spans="1:24" ht="18" customHeight="1" x14ac:dyDescent="0.25">
      <c r="A27" s="17"/>
      <c r="B27" s="17"/>
    </row>
    <row r="28" spans="1:24" ht="9" customHeight="1" x14ac:dyDescent="0.25">
      <c r="A28" s="17"/>
      <c r="B28" s="17"/>
    </row>
    <row r="29" spans="1:24" s="63" customFormat="1" ht="12.95" customHeight="1" x14ac:dyDescent="0.25"/>
    <row r="30" spans="1:24" ht="9" customHeight="1" x14ac:dyDescent="0.25">
      <c r="A30" s="17"/>
      <c r="B30" s="17"/>
    </row>
    <row r="31" spans="1:24" ht="12.95" customHeight="1" x14ac:dyDescent="0.25">
      <c r="A31" s="17"/>
      <c r="B31" s="17"/>
    </row>
    <row r="32" spans="1:24" ht="12.95" customHeight="1" x14ac:dyDescent="0.25">
      <c r="A32" s="17"/>
      <c r="B32" s="17"/>
    </row>
    <row r="33" s="17" customFormat="1" ht="12.95" customHeight="1" x14ac:dyDescent="0.25"/>
    <row r="34" s="17" customFormat="1" ht="12.95" customHeight="1" x14ac:dyDescent="0.25"/>
    <row r="35" s="17" customFormat="1" ht="12.95" customHeight="1" x14ac:dyDescent="0.25"/>
    <row r="36" s="17" customFormat="1" ht="12.95" customHeight="1" x14ac:dyDescent="0.25"/>
    <row r="37" s="17" customFormat="1" ht="18.75" customHeight="1" x14ac:dyDescent="0.25"/>
    <row r="38" s="17" customFormat="1" ht="18.75" customHeight="1" x14ac:dyDescent="0.25"/>
    <row r="39" s="17" customFormat="1" ht="18.75" customHeight="1" x14ac:dyDescent="0.25"/>
    <row r="40" s="17" customFormat="1" ht="18.75" customHeight="1" x14ac:dyDescent="0.25"/>
    <row r="41" s="17" customFormat="1" ht="18.75" customHeight="1" x14ac:dyDescent="0.25"/>
    <row r="42" s="17" customFormat="1" ht="10.5" customHeight="1" x14ac:dyDescent="0.25"/>
    <row r="43" s="17" customFormat="1" ht="18.75" customHeight="1" x14ac:dyDescent="0.25"/>
    <row r="44" s="17" customFormat="1" ht="18.75" customHeight="1" x14ac:dyDescent="0.25"/>
    <row r="45" s="17" customFormat="1" ht="18.75" customHeight="1" x14ac:dyDescent="0.25"/>
    <row r="46" s="17" customFormat="1" ht="18.75" customHeight="1" x14ac:dyDescent="0.25"/>
    <row r="47" s="17" customFormat="1" ht="18.75" customHeight="1" x14ac:dyDescent="0.25"/>
    <row r="48" s="17" customFormat="1" ht="18.75" customHeight="1" x14ac:dyDescent="0.25"/>
    <row r="49" s="17" customFormat="1" ht="18.75" customHeight="1" x14ac:dyDescent="0.25"/>
    <row r="50" s="17" customFormat="1" ht="18.75" customHeight="1" x14ac:dyDescent="0.25"/>
    <row r="51" s="17" customFormat="1" ht="18.75" customHeight="1" x14ac:dyDescent="0.25"/>
    <row r="52" s="17" customFormat="1" ht="18.75" customHeight="1" x14ac:dyDescent="0.25"/>
    <row r="53" s="17" customFormat="1" ht="18.75" customHeight="1" x14ac:dyDescent="0.25"/>
    <row r="54" s="17" customFormat="1" ht="18.75" customHeight="1" x14ac:dyDescent="0.25"/>
    <row r="55" s="17" customFormat="1" ht="18.75" customHeight="1" x14ac:dyDescent="0.25"/>
  </sheetData>
  <mergeCells count="4">
    <mergeCell ref="Q8:Q10"/>
    <mergeCell ref="Q11:Q13"/>
    <mergeCell ref="Q15:Q16"/>
    <mergeCell ref="Q17:Q21"/>
  </mergeCells>
  <phoneticPr fontId="21" type="noConversion"/>
  <printOptions horizontalCentered="1"/>
  <pageMargins left="0.75" right="0.5" top="1" bottom="1" header="0.5" footer="0.5"/>
  <pageSetup scale="81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5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55.42578125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12" width="8.5703125" hidden="1" customWidth="1"/>
    <col min="13" max="13" width="8.5703125" bestFit="1" customWidth="1"/>
    <col min="14" max="14" width="8.5703125" customWidth="1"/>
    <col min="15" max="15" width="9.28515625" customWidth="1"/>
  </cols>
  <sheetData>
    <row r="1" spans="1:15" ht="18.95" customHeight="1" x14ac:dyDescent="0.25">
      <c r="A1" s="200" t="s">
        <v>408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18.95" customHeight="1" x14ac:dyDescent="0.3">
      <c r="A2" s="31" t="s">
        <v>97</v>
      </c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</row>
    <row r="3" spans="1:15" ht="18.7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24.95" customHeight="1" x14ac:dyDescent="0.3">
      <c r="A4" s="47" t="s">
        <v>708</v>
      </c>
      <c r="B4" s="32">
        <v>600</v>
      </c>
      <c r="C4" s="32">
        <v>750</v>
      </c>
      <c r="D4" s="32">
        <v>800</v>
      </c>
      <c r="E4" s="32">
        <v>1000</v>
      </c>
      <c r="F4" s="401">
        <v>1200</v>
      </c>
      <c r="G4" s="401">
        <v>1200</v>
      </c>
      <c r="H4" s="401">
        <v>2000</v>
      </c>
      <c r="I4" s="401">
        <v>2000</v>
      </c>
      <c r="J4" s="401">
        <v>3000</v>
      </c>
      <c r="K4" s="401">
        <v>3000</v>
      </c>
      <c r="L4" s="401">
        <v>2000</v>
      </c>
      <c r="M4" s="401">
        <v>3000</v>
      </c>
      <c r="N4" s="401">
        <v>3000</v>
      </c>
      <c r="O4" s="401">
        <v>3000</v>
      </c>
    </row>
    <row r="5" spans="1:15" ht="24.95" customHeight="1" x14ac:dyDescent="0.3">
      <c r="A5" s="533" t="s">
        <v>586</v>
      </c>
      <c r="B5" s="32">
        <v>1000</v>
      </c>
      <c r="C5" s="32">
        <v>400</v>
      </c>
      <c r="D5" s="32">
        <v>800</v>
      </c>
      <c r="E5" s="32">
        <v>1200</v>
      </c>
      <c r="F5" s="401">
        <v>1400</v>
      </c>
      <c r="G5" s="401">
        <v>1500</v>
      </c>
      <c r="H5" s="401">
        <v>1600</v>
      </c>
      <c r="I5" s="401">
        <v>2500</v>
      </c>
      <c r="J5" s="401">
        <v>2500</v>
      </c>
      <c r="K5" s="401">
        <v>2500</v>
      </c>
      <c r="L5" s="401">
        <v>2000</v>
      </c>
      <c r="M5" s="401">
        <v>2000</v>
      </c>
      <c r="N5" s="401">
        <v>2200</v>
      </c>
      <c r="O5" s="401">
        <v>2500</v>
      </c>
    </row>
    <row r="6" spans="1:15" ht="24.95" customHeight="1" x14ac:dyDescent="0.3">
      <c r="A6" s="42" t="s">
        <v>763</v>
      </c>
      <c r="B6" s="75">
        <v>5600</v>
      </c>
      <c r="C6" s="75">
        <v>8000</v>
      </c>
      <c r="D6" s="75">
        <v>5000</v>
      </c>
      <c r="E6" s="75">
        <v>8000</v>
      </c>
      <c r="F6" s="439">
        <v>12000</v>
      </c>
      <c r="G6" s="439">
        <f>(400*4)+(400*3)+(300*5*4)+(100*5*4)</f>
        <v>10800</v>
      </c>
      <c r="H6" s="439">
        <f>(650*4)+(300*5*4)+(100*5*4)</f>
        <v>10600</v>
      </c>
      <c r="I6" s="439">
        <f>(750*3)+(350*5*3)+(60*5*3)</f>
        <v>8400</v>
      </c>
      <c r="J6" s="439">
        <f>(800*3)+(450*5*3)+(75*5*3)</f>
        <v>10275</v>
      </c>
      <c r="K6" s="439">
        <f>(800*3)+(450*5*3)+(75*5*3)</f>
        <v>10275</v>
      </c>
      <c r="L6" s="439">
        <f>(600*3)+(450*5*3)+(75*5*3)</f>
        <v>9675</v>
      </c>
      <c r="M6" s="439">
        <f>(600*3)+(450*5*3)+(75*5*3)</f>
        <v>9675</v>
      </c>
      <c r="N6" s="439">
        <f>(750*3)+(350*5*3)+(75*5*3)</f>
        <v>8625</v>
      </c>
      <c r="O6" s="439">
        <f>(850*3)+(500*3)+(550*5*3)+(75*5*3)</f>
        <v>13425</v>
      </c>
    </row>
    <row r="7" spans="1:15" ht="24.95" customHeight="1" x14ac:dyDescent="0.3">
      <c r="A7" s="47" t="s">
        <v>480</v>
      </c>
      <c r="B7" s="32">
        <v>400</v>
      </c>
      <c r="C7" s="32">
        <v>300</v>
      </c>
      <c r="D7" s="32">
        <v>400</v>
      </c>
      <c r="E7" s="32">
        <v>500</v>
      </c>
      <c r="F7" s="401">
        <v>600</v>
      </c>
      <c r="G7" s="401">
        <v>500</v>
      </c>
      <c r="H7" s="401">
        <v>600</v>
      </c>
      <c r="I7" s="401">
        <v>1200</v>
      </c>
      <c r="J7" s="401">
        <v>1200</v>
      </c>
      <c r="K7" s="401">
        <v>750</v>
      </c>
      <c r="L7" s="401">
        <v>500</v>
      </c>
      <c r="M7" s="401">
        <v>600</v>
      </c>
      <c r="N7" s="401">
        <v>600</v>
      </c>
      <c r="O7" s="401">
        <v>600</v>
      </c>
    </row>
    <row r="8" spans="1:15" ht="24.95" hidden="1" customHeight="1" x14ac:dyDescent="0.3">
      <c r="A8" s="42" t="s">
        <v>268</v>
      </c>
      <c r="B8" s="39">
        <v>350</v>
      </c>
      <c r="C8" s="39">
        <v>350</v>
      </c>
      <c r="D8" s="39">
        <v>0</v>
      </c>
      <c r="E8" s="39">
        <v>0</v>
      </c>
      <c r="F8" s="446"/>
      <c r="G8" s="446"/>
      <c r="H8" s="446"/>
      <c r="I8" s="446"/>
      <c r="J8" s="446"/>
      <c r="K8" s="446"/>
      <c r="L8" s="446"/>
      <c r="M8" s="446"/>
      <c r="N8" s="446"/>
      <c r="O8" s="446"/>
    </row>
    <row r="9" spans="1:15" ht="24.95" customHeight="1" x14ac:dyDescent="0.3">
      <c r="A9" s="42" t="s">
        <v>764</v>
      </c>
      <c r="B9" s="75">
        <v>800</v>
      </c>
      <c r="C9" s="75">
        <v>1000</v>
      </c>
      <c r="D9" s="75">
        <v>1200</v>
      </c>
      <c r="E9" s="75">
        <v>1200</v>
      </c>
      <c r="F9" s="439">
        <v>2500</v>
      </c>
      <c r="G9" s="439">
        <v>3000</v>
      </c>
      <c r="H9" s="439">
        <f>(250*6)+(250*4*6)+(55*4*6)</f>
        <v>8820</v>
      </c>
      <c r="I9" s="439">
        <f>(275*6)+(275*4*6)+(60*4*6)</f>
        <v>9690</v>
      </c>
      <c r="J9" s="439">
        <f>(275*6)+(350*4*6)+(75*4*6)</f>
        <v>11850</v>
      </c>
      <c r="K9" s="439">
        <f>(275*6)+(250*4*6)+(75*4*6)</f>
        <v>9450</v>
      </c>
      <c r="L9" s="439">
        <f>(275*6)+(250*4*6)+(75*4*6)</f>
        <v>9450</v>
      </c>
      <c r="M9" s="439">
        <f>(275*6)+(250*4*6)+(75*4*6)</f>
        <v>9450</v>
      </c>
      <c r="N9" s="439">
        <f>(300*7)+(275*4*7)+(75*4*6)</f>
        <v>11600</v>
      </c>
      <c r="O9" s="439">
        <f>(325*7)+(300*4*7)+(75*4*6)</f>
        <v>12475</v>
      </c>
    </row>
    <row r="10" spans="1:15" ht="24.95" hidden="1" customHeight="1" x14ac:dyDescent="0.3">
      <c r="A10" s="42" t="s">
        <v>271</v>
      </c>
      <c r="B10" s="75"/>
      <c r="C10" s="75">
        <v>200</v>
      </c>
      <c r="D10" s="75">
        <v>200</v>
      </c>
      <c r="E10" s="75"/>
      <c r="F10" s="439"/>
      <c r="G10" s="439"/>
      <c r="H10" s="439"/>
      <c r="I10" s="439"/>
      <c r="J10" s="439"/>
      <c r="K10" s="439"/>
      <c r="L10" s="439"/>
      <c r="M10" s="439"/>
      <c r="N10" s="439"/>
      <c r="O10" s="439"/>
    </row>
    <row r="11" spans="1:15" ht="24.95" hidden="1" customHeight="1" x14ac:dyDescent="0.3">
      <c r="A11" s="42" t="s">
        <v>269</v>
      </c>
      <c r="B11" s="75">
        <v>250</v>
      </c>
      <c r="C11" s="75">
        <v>200</v>
      </c>
      <c r="D11" s="75">
        <v>300</v>
      </c>
      <c r="E11" s="75">
        <v>300</v>
      </c>
      <c r="F11" s="439"/>
      <c r="G11" s="439"/>
      <c r="H11" s="439"/>
      <c r="I11" s="439"/>
      <c r="J11" s="439"/>
      <c r="K11" s="439"/>
      <c r="L11" s="439"/>
      <c r="M11" s="439"/>
      <c r="N11" s="439"/>
      <c r="O11" s="439"/>
    </row>
    <row r="12" spans="1:15" ht="24.95" hidden="1" customHeight="1" x14ac:dyDescent="0.3">
      <c r="A12" s="42" t="s">
        <v>270</v>
      </c>
      <c r="B12" s="75">
        <v>400</v>
      </c>
      <c r="C12" s="75">
        <v>400</v>
      </c>
      <c r="D12" s="75">
        <v>400</v>
      </c>
      <c r="E12" s="75"/>
      <c r="F12" s="439"/>
      <c r="G12" s="439"/>
      <c r="H12" s="439"/>
      <c r="I12" s="439"/>
      <c r="J12" s="439"/>
      <c r="K12" s="439"/>
      <c r="L12" s="439"/>
      <c r="M12" s="439"/>
      <c r="N12" s="439"/>
      <c r="O12" s="439"/>
    </row>
    <row r="13" spans="1:15" ht="24.95" customHeight="1" x14ac:dyDescent="0.3">
      <c r="A13" s="42" t="s">
        <v>479</v>
      </c>
      <c r="B13" s="75">
        <v>1400</v>
      </c>
      <c r="C13" s="75">
        <v>1200</v>
      </c>
      <c r="D13" s="75">
        <v>1200</v>
      </c>
      <c r="E13" s="75">
        <v>1200</v>
      </c>
      <c r="F13" s="439">
        <v>1000</v>
      </c>
      <c r="G13" s="439">
        <v>1000</v>
      </c>
      <c r="H13" s="439">
        <v>1000</v>
      </c>
      <c r="I13" s="439">
        <v>1000</v>
      </c>
      <c r="J13" s="439">
        <v>1000</v>
      </c>
      <c r="K13" s="439">
        <v>1000</v>
      </c>
      <c r="L13" s="439">
        <v>500</v>
      </c>
      <c r="M13" s="439">
        <v>500</v>
      </c>
      <c r="N13" s="439">
        <v>600</v>
      </c>
      <c r="O13" s="439">
        <v>800</v>
      </c>
    </row>
    <row r="14" spans="1:15" ht="24.95" hidden="1" customHeight="1" x14ac:dyDescent="0.3">
      <c r="A14" s="535" t="s">
        <v>16</v>
      </c>
      <c r="B14" s="39">
        <v>500</v>
      </c>
      <c r="C14" s="39"/>
      <c r="D14" s="39"/>
      <c r="E14" s="75"/>
      <c r="F14" s="439"/>
      <c r="G14" s="439"/>
      <c r="H14" s="439"/>
      <c r="I14" s="439"/>
      <c r="J14" s="439"/>
      <c r="K14" s="439"/>
      <c r="L14" s="439"/>
      <c r="M14" s="439"/>
      <c r="N14" s="439"/>
      <c r="O14" s="439"/>
    </row>
    <row r="15" spans="1:15" ht="24.95" customHeight="1" x14ac:dyDescent="0.3">
      <c r="A15" s="42" t="s">
        <v>709</v>
      </c>
      <c r="B15" s="75">
        <v>2600</v>
      </c>
      <c r="C15" s="75">
        <v>3000</v>
      </c>
      <c r="D15" s="75">
        <v>3000</v>
      </c>
      <c r="E15" s="75">
        <f>3200+6500</f>
        <v>9700</v>
      </c>
      <c r="F15" s="439">
        <v>12000</v>
      </c>
      <c r="G15" s="439">
        <v>13500</v>
      </c>
      <c r="H15" s="439">
        <v>14500</v>
      </c>
      <c r="I15" s="439">
        <v>17500</v>
      </c>
      <c r="J15" s="439">
        <v>17500</v>
      </c>
      <c r="K15" s="439">
        <v>15000</v>
      </c>
      <c r="L15" s="439">
        <v>15000</v>
      </c>
      <c r="M15" s="439">
        <v>15000</v>
      </c>
      <c r="N15" s="439">
        <v>15000</v>
      </c>
      <c r="O15" s="439">
        <f>(750*4)+(450*4)+(450*5*4)+(75*5*4)</f>
        <v>15300</v>
      </c>
    </row>
    <row r="16" spans="1:15" ht="24.95" customHeight="1" x14ac:dyDescent="0.3">
      <c r="A16" s="315" t="s">
        <v>713</v>
      </c>
      <c r="B16" s="33">
        <v>1000</v>
      </c>
      <c r="C16" s="33">
        <v>750</v>
      </c>
      <c r="D16" s="33">
        <v>1000</v>
      </c>
      <c r="E16" s="33">
        <v>2200</v>
      </c>
      <c r="F16" s="402">
        <v>3000</v>
      </c>
      <c r="G16" s="402">
        <v>3000</v>
      </c>
      <c r="H16" s="402">
        <v>5000</v>
      </c>
      <c r="I16" s="402">
        <v>5000</v>
      </c>
      <c r="J16" s="402">
        <v>5000</v>
      </c>
      <c r="K16" s="402">
        <v>3000</v>
      </c>
      <c r="L16" s="402">
        <v>3000</v>
      </c>
      <c r="M16" s="402">
        <v>3000</v>
      </c>
      <c r="N16" s="402">
        <v>3000</v>
      </c>
      <c r="O16" s="402">
        <v>2000</v>
      </c>
    </row>
    <row r="17" spans="1:15" ht="24.95" customHeight="1" x14ac:dyDescent="0.3">
      <c r="A17" s="536" t="s">
        <v>710</v>
      </c>
      <c r="B17" s="33">
        <v>500</v>
      </c>
      <c r="C17" s="33"/>
      <c r="D17" s="33"/>
      <c r="E17" s="33"/>
      <c r="F17" s="402">
        <v>4000</v>
      </c>
      <c r="G17" s="402">
        <v>6000</v>
      </c>
      <c r="H17" s="402">
        <v>6000</v>
      </c>
      <c r="I17" s="402">
        <v>6000</v>
      </c>
      <c r="J17" s="402">
        <v>6500</v>
      </c>
      <c r="K17" s="402">
        <v>6500</v>
      </c>
      <c r="L17" s="402">
        <v>6500</v>
      </c>
      <c r="M17" s="402">
        <v>6500</v>
      </c>
      <c r="N17" s="402">
        <v>6800</v>
      </c>
      <c r="O17" s="402">
        <f>(650*3)+(400*3)+(450*5*3)+(75*5*3)</f>
        <v>11025</v>
      </c>
    </row>
    <row r="18" spans="1:15" ht="24.95" customHeight="1" x14ac:dyDescent="0.3">
      <c r="A18" s="536" t="s">
        <v>711</v>
      </c>
      <c r="B18" s="33"/>
      <c r="C18" s="33"/>
      <c r="D18" s="33"/>
      <c r="E18" s="33"/>
      <c r="F18" s="402"/>
      <c r="G18" s="402"/>
      <c r="H18" s="402">
        <v>0</v>
      </c>
      <c r="I18" s="402">
        <v>0</v>
      </c>
      <c r="J18" s="402">
        <f>(800*3)+(175*6*3)+(225*3)</f>
        <v>6225</v>
      </c>
      <c r="K18" s="402">
        <f>(800*3)+(175*6*3)+(225*3)</f>
        <v>6225</v>
      </c>
      <c r="L18" s="402">
        <f>(800*3)+(175*6*3)+(225*3)</f>
        <v>6225</v>
      </c>
      <c r="M18" s="402">
        <f>(800*3)+(175*6*3)+(225*3)</f>
        <v>6225</v>
      </c>
      <c r="N18" s="402">
        <f>(800*3)+(175*6*3)+(350*3)+(75*6*3)</f>
        <v>7950</v>
      </c>
      <c r="O18" s="402">
        <f>(800*3)+(350*3)+(250*6*3)+(75*6*3)</f>
        <v>9300</v>
      </c>
    </row>
    <row r="19" spans="1:15" ht="24.95" customHeight="1" x14ac:dyDescent="0.3">
      <c r="A19" s="535" t="s">
        <v>765</v>
      </c>
      <c r="B19" s="32"/>
      <c r="C19" s="32"/>
      <c r="D19" s="32"/>
      <c r="E19" s="32"/>
      <c r="F19" s="401">
        <v>1500</v>
      </c>
      <c r="G19" s="401">
        <v>2500</v>
      </c>
      <c r="H19" s="401">
        <v>3800</v>
      </c>
      <c r="I19" s="401">
        <v>3500</v>
      </c>
      <c r="J19" s="401">
        <f>(50*5)+(180*5)+(115*5*5)</f>
        <v>4025</v>
      </c>
      <c r="K19" s="401">
        <f>(50*5)+(180*5)+(115*5*5)</f>
        <v>4025</v>
      </c>
      <c r="L19" s="401">
        <f>(50*5)+(180*5)+(115*5*5)</f>
        <v>4025</v>
      </c>
      <c r="M19" s="401">
        <f>(150*5)+(180*5)+(115*5*5)</f>
        <v>4525</v>
      </c>
      <c r="N19" s="401">
        <f>(200*5)+(180*4*5)+(75*5*5)</f>
        <v>6475</v>
      </c>
      <c r="O19" s="401">
        <f>(100*5)+(200*6*5)+(75*6*5)</f>
        <v>8750</v>
      </c>
    </row>
    <row r="20" spans="1:15" ht="24.95" customHeight="1" x14ac:dyDescent="0.3">
      <c r="A20" s="535" t="s">
        <v>499</v>
      </c>
      <c r="B20" s="32"/>
      <c r="C20" s="32"/>
      <c r="D20" s="32"/>
      <c r="E20" s="32"/>
      <c r="F20" s="401"/>
      <c r="G20" s="401">
        <f>(285*2)+(3*175*2)+(2*400)</f>
        <v>2420</v>
      </c>
      <c r="H20" s="401">
        <v>1500</v>
      </c>
      <c r="I20" s="401">
        <v>1200</v>
      </c>
      <c r="J20" s="401">
        <v>1200</v>
      </c>
      <c r="K20" s="401">
        <v>1500</v>
      </c>
      <c r="L20" s="401">
        <v>1500</v>
      </c>
      <c r="M20" s="401">
        <v>1500</v>
      </c>
      <c r="N20" s="401">
        <v>1800</v>
      </c>
      <c r="O20" s="401">
        <v>0</v>
      </c>
    </row>
    <row r="21" spans="1:15" ht="24.95" customHeight="1" x14ac:dyDescent="0.3">
      <c r="A21" s="535" t="s">
        <v>712</v>
      </c>
      <c r="B21" s="32"/>
      <c r="C21" s="32"/>
      <c r="D21" s="32"/>
      <c r="E21" s="32"/>
      <c r="F21" s="401"/>
      <c r="G21" s="401"/>
      <c r="H21" s="401">
        <f>450+(200*2)+(60*3)</f>
        <v>1030</v>
      </c>
      <c r="I21" s="401">
        <f>475+(220*2)+(60*3)</f>
        <v>1095</v>
      </c>
      <c r="J21" s="401">
        <f>475+(250*2)+(65*3)</f>
        <v>1170</v>
      </c>
      <c r="K21" s="401">
        <f>475+(250*2)+(65*3)</f>
        <v>1170</v>
      </c>
      <c r="L21" s="401">
        <f>475+(275*3)+(75*3)</f>
        <v>1525</v>
      </c>
      <c r="M21" s="401">
        <f>500+(300*3)+(75*3)</f>
        <v>1625</v>
      </c>
      <c r="N21" s="401">
        <f>650+(300*3)+(75*3)</f>
        <v>1775</v>
      </c>
      <c r="O21" s="401">
        <f>700+(350*3)+(75*3)</f>
        <v>1975</v>
      </c>
    </row>
    <row r="22" spans="1:15" ht="24.95" customHeight="1" x14ac:dyDescent="0.3">
      <c r="A22" s="535" t="s">
        <v>766</v>
      </c>
      <c r="B22" s="33"/>
      <c r="C22" s="33"/>
      <c r="D22" s="33"/>
      <c r="E22" s="33"/>
      <c r="F22" s="402"/>
      <c r="G22" s="402"/>
      <c r="H22" s="402"/>
      <c r="I22" s="402"/>
      <c r="J22" s="402"/>
      <c r="K22" s="402"/>
      <c r="L22" s="402">
        <v>0</v>
      </c>
      <c r="M22" s="401">
        <f>525+(275*4)+(75*4)</f>
        <v>1925</v>
      </c>
      <c r="N22" s="401">
        <f>550+(275*4)+(75*4)</f>
        <v>1950</v>
      </c>
      <c r="O22" s="401">
        <f>575+(300*4)+(75*4)</f>
        <v>2075</v>
      </c>
    </row>
    <row r="23" spans="1:15" ht="24.95" customHeight="1" thickBot="1" x14ac:dyDescent="0.35">
      <c r="A23" s="537"/>
      <c r="B23" s="33">
        <v>-4500</v>
      </c>
      <c r="C23" s="33"/>
      <c r="D23" s="33"/>
      <c r="E23" s="33"/>
      <c r="F23" s="402"/>
      <c r="G23" s="402"/>
      <c r="H23" s="402"/>
      <c r="I23" s="402"/>
      <c r="J23" s="402"/>
      <c r="K23" s="402"/>
      <c r="L23" s="402"/>
      <c r="M23" s="402"/>
      <c r="N23" s="402"/>
      <c r="O23" s="402"/>
    </row>
    <row r="24" spans="1:15" ht="24.95" customHeight="1" x14ac:dyDescent="0.3">
      <c r="A24" s="170" t="s">
        <v>95</v>
      </c>
      <c r="B24" s="538">
        <f t="shared" ref="B24:H24" si="0">SUM(B3:B23)</f>
        <v>10900</v>
      </c>
      <c r="C24" s="538">
        <f t="shared" si="0"/>
        <v>16550</v>
      </c>
      <c r="D24" s="538">
        <f t="shared" si="0"/>
        <v>14300</v>
      </c>
      <c r="E24" s="538">
        <f t="shared" si="0"/>
        <v>25300</v>
      </c>
      <c r="F24" s="539">
        <f t="shared" si="0"/>
        <v>39200</v>
      </c>
      <c r="G24" s="539">
        <f>SUM(G3:G23)</f>
        <v>45420</v>
      </c>
      <c r="H24" s="539">
        <f t="shared" si="0"/>
        <v>56450</v>
      </c>
      <c r="I24" s="539">
        <f t="shared" ref="I24:N24" si="1">SUM(I3:I23)</f>
        <v>59085</v>
      </c>
      <c r="J24" s="539">
        <f t="shared" si="1"/>
        <v>71445</v>
      </c>
      <c r="K24" s="539">
        <f t="shared" si="1"/>
        <v>64395</v>
      </c>
      <c r="L24" s="539">
        <f t="shared" si="1"/>
        <v>61900</v>
      </c>
      <c r="M24" s="539">
        <f t="shared" si="1"/>
        <v>65525</v>
      </c>
      <c r="N24" s="539">
        <f t="shared" si="1"/>
        <v>71375</v>
      </c>
      <c r="O24" s="539">
        <f t="shared" ref="O24" si="2">SUM(O3:O23)</f>
        <v>83225</v>
      </c>
    </row>
    <row r="25" spans="1:15" x14ac:dyDescent="0.2">
      <c r="A25" s="201"/>
      <c r="B25" s="15"/>
      <c r="C25" s="15"/>
      <c r="D25" s="15"/>
      <c r="E25" s="15"/>
      <c r="F25" s="15"/>
      <c r="G25" s="15"/>
      <c r="H25" s="15"/>
      <c r="I25" s="190"/>
    </row>
  </sheetData>
  <sortState xmlns:xlrd2="http://schemas.microsoft.com/office/spreadsheetml/2017/richdata2" ref="A4:E5">
    <sortCondition ref="A4: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12" width="0" style="1" hidden="1" customWidth="1"/>
    <col min="13" max="16384" width="9.140625" style="1"/>
  </cols>
  <sheetData>
    <row r="1" spans="1:15" s="2" customFormat="1" ht="18.75" customHeight="1" x14ac:dyDescent="0.25">
      <c r="A1" s="200" t="s">
        <v>237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2.75" customHeight="1" x14ac:dyDescent="0.2">
      <c r="A2" s="22"/>
      <c r="B2" s="14"/>
      <c r="C2" s="14"/>
      <c r="D2" s="21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5" s="2" customFormat="1" ht="16.5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5" customFormat="1" ht="16.5" x14ac:dyDescent="0.3">
      <c r="A4" s="71"/>
      <c r="B4" s="81"/>
      <c r="C4" s="81"/>
      <c r="D4" s="81"/>
      <c r="E4" s="81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ht="18.75" customHeight="1" x14ac:dyDescent="0.3">
      <c r="A5" s="47" t="s">
        <v>228</v>
      </c>
      <c r="B5" s="39">
        <v>6925</v>
      </c>
      <c r="C5" s="39">
        <v>6500</v>
      </c>
      <c r="D5" s="39">
        <v>6500</v>
      </c>
      <c r="E5" s="39">
        <v>4500</v>
      </c>
      <c r="F5" s="446">
        <v>4500</v>
      </c>
      <c r="G5" s="446">
        <v>4100</v>
      </c>
      <c r="H5" s="446">
        <v>4100</v>
      </c>
      <c r="I5" s="446">
        <v>4000</v>
      </c>
      <c r="J5" s="446">
        <v>4000</v>
      </c>
      <c r="K5" s="446">
        <v>4000</v>
      </c>
      <c r="L5" s="446">
        <v>3700</v>
      </c>
      <c r="M5" s="446">
        <v>4000</v>
      </c>
      <c r="N5" s="446">
        <v>4000</v>
      </c>
      <c r="O5" s="446">
        <v>4250</v>
      </c>
    </row>
    <row r="6" spans="1:15" ht="18.75" customHeight="1" x14ac:dyDescent="0.3">
      <c r="A6" s="47" t="s">
        <v>548</v>
      </c>
      <c r="B6" s="26">
        <v>725</v>
      </c>
      <c r="C6" s="26">
        <v>1500</v>
      </c>
      <c r="D6" s="26">
        <v>1200</v>
      </c>
      <c r="E6" s="26">
        <v>1200</v>
      </c>
      <c r="F6" s="451">
        <v>1200</v>
      </c>
      <c r="G6" s="451">
        <v>1200</v>
      </c>
      <c r="H6" s="451">
        <v>1200</v>
      </c>
      <c r="I6" s="451">
        <v>1400</v>
      </c>
      <c r="J6" s="451">
        <v>1000</v>
      </c>
      <c r="K6" s="451">
        <v>1000</v>
      </c>
      <c r="L6" s="451">
        <v>1000</v>
      </c>
      <c r="M6" s="451">
        <v>1000</v>
      </c>
      <c r="N6" s="451">
        <v>1000</v>
      </c>
      <c r="O6" s="451">
        <v>1200</v>
      </c>
    </row>
    <row r="7" spans="1:15" ht="18.75" customHeight="1" x14ac:dyDescent="0.3">
      <c r="A7" s="47" t="s">
        <v>236</v>
      </c>
      <c r="B7" s="39">
        <v>4500</v>
      </c>
      <c r="C7" s="39">
        <v>3500</v>
      </c>
      <c r="D7" s="39">
        <v>3600</v>
      </c>
      <c r="E7" s="39">
        <v>3600</v>
      </c>
      <c r="F7" s="446">
        <v>3600</v>
      </c>
      <c r="G7" s="446">
        <v>3600</v>
      </c>
      <c r="H7" s="446">
        <v>3600</v>
      </c>
      <c r="I7" s="446">
        <v>4500</v>
      </c>
      <c r="J7" s="446">
        <v>4500</v>
      </c>
      <c r="K7" s="446">
        <v>4500</v>
      </c>
      <c r="L7" s="446">
        <v>4000</v>
      </c>
      <c r="M7" s="446">
        <v>3500</v>
      </c>
      <c r="N7" s="446">
        <v>3500</v>
      </c>
      <c r="O7" s="446">
        <v>3800</v>
      </c>
    </row>
    <row r="8" spans="1:15" s="2" customFormat="1" ht="18.75" customHeight="1" x14ac:dyDescent="0.3">
      <c r="A8" s="47" t="s">
        <v>254</v>
      </c>
      <c r="B8" s="39">
        <v>4000</v>
      </c>
      <c r="C8" s="39">
        <v>3000</v>
      </c>
      <c r="D8" s="39">
        <v>3000</v>
      </c>
      <c r="E8" s="39">
        <v>3000</v>
      </c>
      <c r="F8" s="446">
        <v>3000</v>
      </c>
      <c r="G8" s="446">
        <v>3000</v>
      </c>
      <c r="H8" s="446">
        <v>3000</v>
      </c>
      <c r="I8" s="446">
        <v>3500</v>
      </c>
      <c r="J8" s="446">
        <v>3500</v>
      </c>
      <c r="K8" s="446">
        <v>3500</v>
      </c>
      <c r="L8" s="446">
        <v>4000</v>
      </c>
      <c r="M8" s="446">
        <v>4000</v>
      </c>
      <c r="N8" s="446">
        <v>4000</v>
      </c>
      <c r="O8" s="446">
        <v>4000</v>
      </c>
    </row>
    <row r="9" spans="1:15" s="2" customFormat="1" ht="18.75" customHeight="1" x14ac:dyDescent="0.3">
      <c r="A9" s="47" t="s">
        <v>253</v>
      </c>
      <c r="B9" s="39">
        <v>2000</v>
      </c>
      <c r="C9" s="39">
        <v>2500</v>
      </c>
      <c r="D9" s="39">
        <v>2000</v>
      </c>
      <c r="E9" s="39">
        <v>2000</v>
      </c>
      <c r="F9" s="446">
        <v>2000</v>
      </c>
      <c r="G9" s="446">
        <v>2000</v>
      </c>
      <c r="H9" s="446">
        <v>2000</v>
      </c>
      <c r="I9" s="446">
        <v>2200</v>
      </c>
      <c r="J9" s="446">
        <v>2200</v>
      </c>
      <c r="K9" s="446">
        <v>2200</v>
      </c>
      <c r="L9" s="446">
        <v>2000</v>
      </c>
      <c r="M9" s="446">
        <v>2000</v>
      </c>
      <c r="N9" s="446">
        <v>2000</v>
      </c>
      <c r="O9" s="446">
        <v>2000</v>
      </c>
    </row>
    <row r="10" spans="1:15" s="2" customFormat="1" ht="18.75" customHeight="1" x14ac:dyDescent="0.3">
      <c r="A10" s="47" t="s">
        <v>227</v>
      </c>
      <c r="B10" s="26">
        <v>2000</v>
      </c>
      <c r="C10" s="26">
        <v>2000</v>
      </c>
      <c r="D10" s="26">
        <v>2000</v>
      </c>
      <c r="E10" s="26">
        <v>2000</v>
      </c>
      <c r="F10" s="451">
        <v>2000</v>
      </c>
      <c r="G10" s="451">
        <v>2000</v>
      </c>
      <c r="H10" s="451">
        <v>2000</v>
      </c>
      <c r="I10" s="451">
        <v>2000</v>
      </c>
      <c r="J10" s="451">
        <v>2000</v>
      </c>
      <c r="K10" s="451">
        <v>2000</v>
      </c>
      <c r="L10" s="451">
        <v>2000</v>
      </c>
      <c r="M10" s="451">
        <v>2000</v>
      </c>
      <c r="N10" s="451">
        <v>2000</v>
      </c>
      <c r="O10" s="451">
        <v>2000</v>
      </c>
    </row>
    <row r="11" spans="1:15" s="2" customFormat="1" ht="18.75" customHeight="1" x14ac:dyDescent="0.3">
      <c r="A11" s="47" t="s">
        <v>725</v>
      </c>
      <c r="B11" s="26">
        <v>2000</v>
      </c>
      <c r="C11" s="26">
        <v>2500</v>
      </c>
      <c r="D11" s="26">
        <v>2200</v>
      </c>
      <c r="E11" s="355">
        <v>2200</v>
      </c>
      <c r="F11" s="485">
        <v>3000</v>
      </c>
      <c r="G11" s="485">
        <v>3000</v>
      </c>
      <c r="H11" s="485">
        <v>3000</v>
      </c>
      <c r="I11" s="485">
        <v>3000</v>
      </c>
      <c r="J11" s="485">
        <v>3000</v>
      </c>
      <c r="K11" s="485">
        <v>3000</v>
      </c>
      <c r="L11" s="485">
        <v>7500</v>
      </c>
      <c r="M11" s="485">
        <v>5000</v>
      </c>
      <c r="N11" s="485">
        <v>6000</v>
      </c>
      <c r="O11" s="485">
        <v>6000</v>
      </c>
    </row>
    <row r="12" spans="1:15" s="2" customFormat="1" ht="18.75" customHeight="1" x14ac:dyDescent="0.3">
      <c r="A12" s="47" t="s">
        <v>78</v>
      </c>
      <c r="B12" s="39">
        <v>900</v>
      </c>
      <c r="C12" s="39">
        <v>800</v>
      </c>
      <c r="D12" s="39">
        <v>500</v>
      </c>
      <c r="E12" s="75">
        <v>1000</v>
      </c>
      <c r="F12" s="439">
        <v>1000</v>
      </c>
      <c r="G12" s="439">
        <v>1000</v>
      </c>
      <c r="H12" s="439">
        <v>1000</v>
      </c>
      <c r="I12" s="439">
        <v>1200</v>
      </c>
      <c r="J12" s="439">
        <f>1200+7000</f>
        <v>8200</v>
      </c>
      <c r="K12" s="439">
        <f>1200+7000</f>
        <v>8200</v>
      </c>
      <c r="L12" s="439">
        <f>7000</f>
        <v>7000</v>
      </c>
      <c r="M12" s="439">
        <v>5000</v>
      </c>
      <c r="N12" s="439">
        <v>5000</v>
      </c>
      <c r="O12" s="439">
        <v>5000</v>
      </c>
    </row>
    <row r="13" spans="1:15" ht="18.75" hidden="1" customHeight="1" x14ac:dyDescent="0.3">
      <c r="A13" s="47" t="s">
        <v>234</v>
      </c>
      <c r="B13" s="39">
        <v>34400</v>
      </c>
      <c r="C13" s="39"/>
      <c r="D13" s="39"/>
      <c r="E13" s="75"/>
      <c r="F13" s="439"/>
      <c r="G13" s="439"/>
      <c r="H13" s="439"/>
      <c r="I13" s="439"/>
      <c r="J13" s="439"/>
      <c r="K13" s="439"/>
      <c r="L13" s="439"/>
      <c r="M13" s="439"/>
      <c r="N13" s="439"/>
      <c r="O13" s="439"/>
    </row>
    <row r="14" spans="1:15" ht="18.75" hidden="1" customHeight="1" x14ac:dyDescent="0.3">
      <c r="A14" s="47" t="s">
        <v>251</v>
      </c>
      <c r="B14" s="39">
        <v>21840</v>
      </c>
      <c r="C14" s="39"/>
      <c r="D14" s="39"/>
      <c r="E14" s="75"/>
      <c r="F14" s="439"/>
      <c r="G14" s="439"/>
      <c r="H14" s="439"/>
      <c r="I14" s="439"/>
      <c r="J14" s="439"/>
      <c r="K14" s="439"/>
      <c r="L14" s="439"/>
      <c r="M14" s="439"/>
      <c r="N14" s="439"/>
      <c r="O14" s="439"/>
    </row>
    <row r="15" spans="1:15" ht="18.75" customHeight="1" x14ac:dyDescent="0.3">
      <c r="A15" s="47" t="s">
        <v>508</v>
      </c>
      <c r="B15" s="39">
        <v>7875</v>
      </c>
      <c r="C15" s="39">
        <v>10000</v>
      </c>
      <c r="D15" s="39">
        <v>11000</v>
      </c>
      <c r="E15" s="75">
        <v>10000</v>
      </c>
      <c r="F15" s="439">
        <v>12000</v>
      </c>
      <c r="G15" s="439">
        <v>14000</v>
      </c>
      <c r="H15" s="439">
        <v>14000</v>
      </c>
      <c r="I15" s="439">
        <v>9800</v>
      </c>
      <c r="J15" s="439">
        <v>12000</v>
      </c>
      <c r="K15" s="439">
        <v>12000</v>
      </c>
      <c r="L15" s="439">
        <v>12000</v>
      </c>
      <c r="M15" s="439">
        <v>12000</v>
      </c>
      <c r="N15" s="439">
        <v>12000</v>
      </c>
      <c r="O15" s="439">
        <v>12000</v>
      </c>
    </row>
    <row r="16" spans="1:15" ht="18.75" customHeight="1" x14ac:dyDescent="0.3">
      <c r="A16" s="47" t="s">
        <v>410</v>
      </c>
      <c r="B16" s="39">
        <v>6500</v>
      </c>
      <c r="C16" s="39">
        <v>6000</v>
      </c>
      <c r="D16" s="39">
        <v>6000</v>
      </c>
      <c r="E16" s="75">
        <v>4000</v>
      </c>
      <c r="F16" s="439">
        <v>4000</v>
      </c>
      <c r="G16" s="439">
        <v>4000</v>
      </c>
      <c r="H16" s="439">
        <v>5000</v>
      </c>
      <c r="I16" s="439">
        <v>5000</v>
      </c>
      <c r="J16" s="439">
        <v>5000</v>
      </c>
      <c r="K16" s="439">
        <v>5000</v>
      </c>
      <c r="L16" s="439">
        <v>5000</v>
      </c>
      <c r="M16" s="439">
        <v>7500</v>
      </c>
      <c r="N16" s="439">
        <v>7500</v>
      </c>
      <c r="O16" s="439">
        <v>8000</v>
      </c>
    </row>
    <row r="17" spans="1:15" ht="18.75" hidden="1" customHeight="1" x14ac:dyDescent="0.3">
      <c r="A17" s="47" t="s">
        <v>247</v>
      </c>
      <c r="B17" s="39">
        <v>500</v>
      </c>
      <c r="C17" s="39"/>
      <c r="D17" s="39"/>
      <c r="E17" s="75"/>
      <c r="F17" s="439"/>
      <c r="G17" s="439"/>
      <c r="H17" s="439"/>
      <c r="I17" s="439"/>
      <c r="J17" s="439"/>
      <c r="K17" s="439"/>
      <c r="L17" s="439"/>
      <c r="M17" s="439"/>
      <c r="N17" s="439"/>
      <c r="O17" s="439"/>
    </row>
    <row r="18" spans="1:15" ht="18.75" hidden="1" customHeight="1" x14ac:dyDescent="0.3">
      <c r="A18" s="47" t="s">
        <v>224</v>
      </c>
      <c r="B18" s="39">
        <v>1250</v>
      </c>
      <c r="C18" s="39"/>
      <c r="D18" s="39"/>
      <c r="E18" s="75"/>
      <c r="F18" s="439"/>
      <c r="G18" s="439"/>
      <c r="H18" s="439"/>
      <c r="I18" s="439"/>
      <c r="J18" s="439"/>
      <c r="K18" s="439"/>
      <c r="L18" s="439"/>
      <c r="M18" s="439"/>
      <c r="N18" s="439"/>
      <c r="O18" s="439"/>
    </row>
    <row r="19" spans="1:15" ht="18.75" customHeight="1" x14ac:dyDescent="0.3">
      <c r="A19" s="47" t="s">
        <v>519</v>
      </c>
      <c r="B19" s="39"/>
      <c r="C19" s="39">
        <v>1200</v>
      </c>
      <c r="D19" s="39">
        <v>1200</v>
      </c>
      <c r="E19" s="75">
        <v>600</v>
      </c>
      <c r="F19" s="439">
        <v>600</v>
      </c>
      <c r="G19" s="439">
        <v>600</v>
      </c>
      <c r="H19" s="439">
        <v>600</v>
      </c>
      <c r="I19" s="439">
        <v>750</v>
      </c>
      <c r="J19" s="439">
        <v>750</v>
      </c>
      <c r="K19" s="439">
        <v>750</v>
      </c>
      <c r="L19" s="439">
        <v>750</v>
      </c>
      <c r="M19" s="439">
        <v>1000</v>
      </c>
      <c r="N19" s="439">
        <v>1000</v>
      </c>
      <c r="O19" s="439">
        <v>1500</v>
      </c>
    </row>
    <row r="20" spans="1:15" ht="18.75" customHeight="1" x14ac:dyDescent="0.3">
      <c r="A20" s="47" t="s">
        <v>225</v>
      </c>
      <c r="B20" s="39">
        <v>5367</v>
      </c>
      <c r="C20" s="39">
        <v>2500</v>
      </c>
      <c r="D20" s="39">
        <v>2000</v>
      </c>
      <c r="E20" s="75">
        <v>2500</v>
      </c>
      <c r="F20" s="439">
        <v>2500</v>
      </c>
      <c r="G20" s="439">
        <v>2500</v>
      </c>
      <c r="H20" s="439">
        <v>1500</v>
      </c>
      <c r="I20" s="439">
        <v>1500</v>
      </c>
      <c r="J20" s="439">
        <v>1500</v>
      </c>
      <c r="K20" s="439">
        <v>1500</v>
      </c>
      <c r="L20" s="439">
        <v>1500</v>
      </c>
      <c r="M20" s="439">
        <v>1500</v>
      </c>
      <c r="N20" s="439">
        <v>1500</v>
      </c>
      <c r="O20" s="439">
        <v>1800</v>
      </c>
    </row>
    <row r="21" spans="1:15" ht="18.75" customHeight="1" x14ac:dyDescent="0.3">
      <c r="A21" s="47" t="s">
        <v>235</v>
      </c>
      <c r="B21" s="39">
        <v>250</v>
      </c>
      <c r="C21" s="39">
        <v>650</v>
      </c>
      <c r="D21" s="39">
        <v>650</v>
      </c>
      <c r="E21" s="75">
        <v>750</v>
      </c>
      <c r="F21" s="439">
        <v>750</v>
      </c>
      <c r="G21" s="439">
        <v>750</v>
      </c>
      <c r="H21" s="439">
        <v>750</v>
      </c>
      <c r="I21" s="439">
        <v>1000</v>
      </c>
      <c r="J21" s="439">
        <v>1000</v>
      </c>
      <c r="K21" s="439">
        <v>1000</v>
      </c>
      <c r="L21" s="439">
        <v>1000</v>
      </c>
      <c r="M21" s="439">
        <v>1000</v>
      </c>
      <c r="N21" s="439">
        <v>1000</v>
      </c>
      <c r="O21" s="439">
        <v>1200</v>
      </c>
    </row>
    <row r="22" spans="1:15" ht="18.75" hidden="1" customHeight="1" x14ac:dyDescent="0.3">
      <c r="A22" s="47" t="s">
        <v>252</v>
      </c>
      <c r="B22" s="39">
        <v>2000</v>
      </c>
      <c r="C22" s="39">
        <v>1000</v>
      </c>
      <c r="D22" s="39">
        <v>750</v>
      </c>
      <c r="E22" s="39" t="s">
        <v>409</v>
      </c>
      <c r="F22" s="446" t="s">
        <v>409</v>
      </c>
      <c r="G22" s="446"/>
      <c r="H22" s="446"/>
      <c r="I22" s="446"/>
      <c r="J22" s="446"/>
      <c r="K22" s="446"/>
      <c r="L22" s="446"/>
      <c r="M22" s="446"/>
      <c r="N22" s="446"/>
      <c r="O22" s="446"/>
    </row>
    <row r="23" spans="1:15" ht="18.75" customHeight="1" x14ac:dyDescent="0.3">
      <c r="A23" s="47" t="s">
        <v>300</v>
      </c>
      <c r="B23" s="39">
        <v>700</v>
      </c>
      <c r="C23" s="39">
        <v>750</v>
      </c>
      <c r="D23" s="39">
        <v>750</v>
      </c>
      <c r="E23" s="39">
        <v>750</v>
      </c>
      <c r="F23" s="446">
        <v>750</v>
      </c>
      <c r="G23" s="446">
        <v>750</v>
      </c>
      <c r="H23" s="446">
        <v>750</v>
      </c>
      <c r="I23" s="446">
        <v>3000</v>
      </c>
      <c r="J23" s="446">
        <v>3000</v>
      </c>
      <c r="K23" s="446">
        <v>4000</v>
      </c>
      <c r="L23" s="446">
        <v>2500</v>
      </c>
      <c r="M23" s="446">
        <v>1800</v>
      </c>
      <c r="N23" s="446">
        <v>1800</v>
      </c>
      <c r="O23" s="446">
        <v>2000</v>
      </c>
    </row>
    <row r="24" spans="1:15" ht="18.75" customHeight="1" x14ac:dyDescent="0.3">
      <c r="A24" s="47" t="s">
        <v>726</v>
      </c>
      <c r="B24" s="39">
        <v>10625</v>
      </c>
      <c r="C24" s="39">
        <v>2500</v>
      </c>
      <c r="D24" s="39">
        <v>3500</v>
      </c>
      <c r="E24" s="39">
        <v>0</v>
      </c>
      <c r="F24" s="446">
        <v>0</v>
      </c>
      <c r="G24" s="446">
        <v>0</v>
      </c>
      <c r="H24" s="446">
        <v>0</v>
      </c>
      <c r="I24" s="446">
        <v>0</v>
      </c>
      <c r="J24" s="446">
        <v>0</v>
      </c>
      <c r="K24" s="446">
        <f>680*25</f>
        <v>17000</v>
      </c>
      <c r="L24" s="446">
        <f>20*900</f>
        <v>18000</v>
      </c>
      <c r="M24" s="446">
        <f>20*1000</f>
        <v>20000</v>
      </c>
      <c r="N24" s="446">
        <f>10*1100</f>
        <v>11000</v>
      </c>
      <c r="O24" s="446">
        <f>10*1100</f>
        <v>11000</v>
      </c>
    </row>
    <row r="25" spans="1:15" ht="18.75" hidden="1" customHeight="1" x14ac:dyDescent="0.3">
      <c r="A25" s="47" t="s">
        <v>79</v>
      </c>
      <c r="B25" s="39">
        <v>4725</v>
      </c>
      <c r="C25" s="39">
        <v>5700</v>
      </c>
      <c r="D25" s="39">
        <v>6200</v>
      </c>
      <c r="E25" s="75">
        <v>15000</v>
      </c>
      <c r="F25" s="439">
        <v>15000</v>
      </c>
      <c r="G25" s="439">
        <v>0</v>
      </c>
      <c r="H25" s="439">
        <v>0</v>
      </c>
      <c r="I25" s="439">
        <v>0</v>
      </c>
      <c r="J25" s="439">
        <v>0</v>
      </c>
      <c r="K25" s="439">
        <v>0</v>
      </c>
      <c r="L25" s="439">
        <v>0</v>
      </c>
      <c r="M25" s="439">
        <v>0</v>
      </c>
      <c r="N25" s="439">
        <v>0</v>
      </c>
      <c r="O25" s="439">
        <v>0</v>
      </c>
    </row>
    <row r="26" spans="1:15" ht="18.75" customHeight="1" x14ac:dyDescent="0.3">
      <c r="A26" s="47" t="s">
        <v>80</v>
      </c>
      <c r="B26" s="39">
        <v>200</v>
      </c>
      <c r="C26" s="39">
        <v>250</v>
      </c>
      <c r="D26" s="39">
        <v>350</v>
      </c>
      <c r="E26" s="39">
        <v>400</v>
      </c>
      <c r="F26" s="446">
        <v>400</v>
      </c>
      <c r="G26" s="446">
        <v>400</v>
      </c>
      <c r="H26" s="446">
        <v>800</v>
      </c>
      <c r="I26" s="446">
        <v>800</v>
      </c>
      <c r="J26" s="446">
        <v>800</v>
      </c>
      <c r="K26" s="446">
        <v>800</v>
      </c>
      <c r="L26" s="446">
        <v>1200</v>
      </c>
      <c r="M26" s="446">
        <v>1000</v>
      </c>
      <c r="N26" s="446">
        <v>1000</v>
      </c>
      <c r="O26" s="446">
        <v>1000</v>
      </c>
    </row>
    <row r="27" spans="1:15" ht="18.75" customHeight="1" x14ac:dyDescent="0.3">
      <c r="A27" s="47" t="s">
        <v>226</v>
      </c>
      <c r="B27" s="39">
        <v>3000</v>
      </c>
      <c r="C27" s="39">
        <v>3500</v>
      </c>
      <c r="D27" s="39">
        <v>3500</v>
      </c>
      <c r="E27" s="39">
        <v>2500</v>
      </c>
      <c r="F27" s="446">
        <v>2500</v>
      </c>
      <c r="G27" s="446">
        <v>2500</v>
      </c>
      <c r="H27" s="446">
        <v>2500</v>
      </c>
      <c r="I27" s="446">
        <v>2500</v>
      </c>
      <c r="J27" s="446">
        <f>75*34</f>
        <v>2550</v>
      </c>
      <c r="K27" s="446">
        <f>75*35</f>
        <v>2625</v>
      </c>
      <c r="L27" s="446">
        <f>75*35</f>
        <v>2625</v>
      </c>
      <c r="M27" s="446">
        <f>75*35</f>
        <v>2625</v>
      </c>
      <c r="N27" s="446">
        <f>75*35</f>
        <v>2625</v>
      </c>
      <c r="O27" s="446">
        <f>75*35</f>
        <v>2625</v>
      </c>
    </row>
    <row r="28" spans="1:15" ht="18.75" customHeight="1" x14ac:dyDescent="0.3">
      <c r="A28" s="47" t="s">
        <v>483</v>
      </c>
      <c r="B28" s="39"/>
      <c r="C28" s="39"/>
      <c r="D28" s="39"/>
      <c r="E28" s="39"/>
      <c r="F28" s="446"/>
      <c r="G28" s="446">
        <v>4000</v>
      </c>
      <c r="H28" s="446">
        <v>7000</v>
      </c>
      <c r="I28" s="446">
        <v>7000</v>
      </c>
      <c r="J28" s="446">
        <v>7000</v>
      </c>
      <c r="K28" s="446">
        <v>8000</v>
      </c>
      <c r="L28" s="439">
        <v>10000</v>
      </c>
      <c r="M28" s="439">
        <v>7000</v>
      </c>
      <c r="N28" s="439">
        <v>8000</v>
      </c>
      <c r="O28" s="439">
        <v>10000</v>
      </c>
    </row>
    <row r="29" spans="1:15" ht="18.75" customHeight="1" x14ac:dyDescent="0.3">
      <c r="A29" s="47" t="s">
        <v>509</v>
      </c>
      <c r="B29" s="39"/>
      <c r="C29" s="39"/>
      <c r="D29" s="39"/>
      <c r="E29" s="39"/>
      <c r="F29" s="446">
        <v>0</v>
      </c>
      <c r="G29" s="446">
        <v>0</v>
      </c>
      <c r="H29" s="446">
        <v>2000</v>
      </c>
      <c r="I29" s="446">
        <v>1000</v>
      </c>
      <c r="J29" s="446">
        <v>1000</v>
      </c>
      <c r="K29" s="446">
        <v>1000</v>
      </c>
      <c r="L29" s="446">
        <v>800</v>
      </c>
      <c r="M29" s="446">
        <v>500</v>
      </c>
      <c r="N29" s="446">
        <v>500</v>
      </c>
      <c r="O29" s="446">
        <f>(3000*2)+1000</f>
        <v>7000</v>
      </c>
    </row>
    <row r="30" spans="1:15" ht="18.75" hidden="1" customHeight="1" x14ac:dyDescent="0.3">
      <c r="A30" s="47" t="s">
        <v>510</v>
      </c>
      <c r="B30" s="39"/>
      <c r="C30" s="39"/>
      <c r="D30" s="39"/>
      <c r="E30" s="39"/>
      <c r="F30" s="446">
        <v>0</v>
      </c>
      <c r="G30" s="446">
        <v>0</v>
      </c>
      <c r="H30" s="446">
        <v>2500</v>
      </c>
      <c r="I30" s="446">
        <v>0</v>
      </c>
      <c r="J30" s="446">
        <v>0</v>
      </c>
      <c r="K30" s="446">
        <v>0</v>
      </c>
      <c r="L30" s="446">
        <v>0</v>
      </c>
      <c r="M30" s="446">
        <v>0</v>
      </c>
      <c r="N30" s="446">
        <v>0</v>
      </c>
      <c r="O30" s="446">
        <v>0</v>
      </c>
    </row>
    <row r="31" spans="1:15" ht="18.75" customHeight="1" x14ac:dyDescent="0.3">
      <c r="A31" s="47" t="s">
        <v>549</v>
      </c>
      <c r="B31" s="39"/>
      <c r="C31" s="39"/>
      <c r="D31" s="39"/>
      <c r="E31" s="39"/>
      <c r="F31" s="446"/>
      <c r="G31" s="446"/>
      <c r="H31" s="446"/>
      <c r="I31" s="446">
        <v>1500</v>
      </c>
      <c r="J31" s="446">
        <v>750</v>
      </c>
      <c r="K31" s="446">
        <v>750</v>
      </c>
      <c r="L31" s="446">
        <v>750</v>
      </c>
      <c r="M31" s="446">
        <v>750</v>
      </c>
      <c r="N31" s="446">
        <v>750</v>
      </c>
      <c r="O31" s="446">
        <v>800</v>
      </c>
    </row>
    <row r="32" spans="1:15" ht="18.75" customHeight="1" thickBot="1" x14ac:dyDescent="0.35">
      <c r="A32" s="47"/>
      <c r="B32" s="39"/>
      <c r="C32" s="39"/>
      <c r="D32" s="39"/>
      <c r="E32" s="39"/>
      <c r="F32" s="446"/>
      <c r="G32" s="446"/>
      <c r="H32" s="446"/>
      <c r="I32" s="446"/>
      <c r="J32" s="446"/>
      <c r="K32" s="446"/>
      <c r="L32" s="446"/>
      <c r="M32" s="446"/>
      <c r="N32" s="446"/>
      <c r="O32" s="446"/>
    </row>
    <row r="33" spans="1:15" ht="18.75" customHeight="1" thickTop="1" x14ac:dyDescent="0.3">
      <c r="A33" s="170" t="s">
        <v>95</v>
      </c>
      <c r="B33" s="61">
        <f t="shared" ref="B33:H33" si="0">SUM(B4:B32)</f>
        <v>122282</v>
      </c>
      <c r="C33" s="61">
        <f t="shared" si="0"/>
        <v>56350</v>
      </c>
      <c r="D33" s="61">
        <f t="shared" si="0"/>
        <v>56900</v>
      </c>
      <c r="E33" s="61">
        <f t="shared" si="0"/>
        <v>56000</v>
      </c>
      <c r="F33" s="468">
        <f t="shared" si="0"/>
        <v>58800</v>
      </c>
      <c r="G33" s="468">
        <f t="shared" si="0"/>
        <v>49400</v>
      </c>
      <c r="H33" s="468">
        <f t="shared" si="0"/>
        <v>57300</v>
      </c>
      <c r="I33" s="468">
        <f t="shared" ref="I33:N33" si="1">SUM(I4:I32)</f>
        <v>55650</v>
      </c>
      <c r="J33" s="468">
        <f t="shared" si="1"/>
        <v>63750</v>
      </c>
      <c r="K33" s="468">
        <f t="shared" si="1"/>
        <v>82825</v>
      </c>
      <c r="L33" s="468">
        <f t="shared" si="1"/>
        <v>87325</v>
      </c>
      <c r="M33" s="468">
        <f t="shared" si="1"/>
        <v>83175</v>
      </c>
      <c r="N33" s="468">
        <f t="shared" si="1"/>
        <v>76175</v>
      </c>
      <c r="O33" s="468">
        <f t="shared" ref="O33" si="2">SUM(O4:O32)</f>
        <v>87175</v>
      </c>
    </row>
    <row r="34" spans="1:15" ht="18.75" customHeight="1" x14ac:dyDescent="0.2">
      <c r="A34" s="93"/>
      <c r="B34" s="66"/>
      <c r="C34" s="66"/>
    </row>
    <row r="35" spans="1:15" ht="18.75" customHeight="1" x14ac:dyDescent="0.2">
      <c r="A35" s="592"/>
    </row>
  </sheetData>
  <sortState xmlns:xlrd2="http://schemas.microsoft.com/office/spreadsheetml/2017/richdata2" ref="A6:E27">
    <sortCondition ref="A6:A27"/>
  </sortState>
  <phoneticPr fontId="21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9"/>
  <sheetViews>
    <sheetView zoomScaleNormal="100" workbookViewId="0"/>
  </sheetViews>
  <sheetFormatPr defaultColWidth="9.140625" defaultRowHeight="18.75" customHeight="1" x14ac:dyDescent="0.3"/>
  <cols>
    <col min="1" max="1" width="34" style="67" bestFit="1" customWidth="1"/>
    <col min="2" max="2" width="13.140625" style="18" hidden="1" customWidth="1"/>
    <col min="3" max="4" width="11.7109375" style="18" hidden="1" customWidth="1"/>
    <col min="5" max="8" width="11" style="18" hidden="1" customWidth="1"/>
    <col min="9" max="12" width="0" style="18" hidden="1" customWidth="1"/>
    <col min="13" max="16384" width="9.140625" style="18"/>
  </cols>
  <sheetData>
    <row r="1" spans="1:15" s="36" customFormat="1" ht="21.75" customHeight="1" x14ac:dyDescent="0.3">
      <c r="A1" s="200" t="s">
        <v>244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6.5" customHeight="1" x14ac:dyDescent="0.3">
      <c r="A4" s="68"/>
      <c r="B4" s="96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s="89" customFormat="1" ht="15.75" customHeight="1" x14ac:dyDescent="0.3">
      <c r="A5" s="83" t="s">
        <v>250</v>
      </c>
      <c r="B5" s="96"/>
      <c r="C5" s="96"/>
      <c r="D5" s="96"/>
      <c r="E5" s="96"/>
      <c r="F5" s="445"/>
      <c r="G5" s="445"/>
      <c r="H5" s="445"/>
      <c r="I5" s="445"/>
      <c r="J5" s="445"/>
      <c r="K5" s="445"/>
      <c r="L5" s="445"/>
      <c r="M5" s="445"/>
      <c r="N5" s="445"/>
      <c r="O5" s="445"/>
    </row>
    <row r="6" spans="1:15" s="36" customFormat="1" ht="18.75" customHeight="1" x14ac:dyDescent="0.3">
      <c r="A6" s="47" t="s">
        <v>245</v>
      </c>
      <c r="B6" s="39">
        <v>4300</v>
      </c>
      <c r="C6" s="39">
        <v>5600</v>
      </c>
      <c r="D6" s="39">
        <f>100*52</f>
        <v>5200</v>
      </c>
      <c r="E6" s="39">
        <v>3500</v>
      </c>
      <c r="F6" s="446">
        <v>2000</v>
      </c>
      <c r="G6" s="446">
        <v>3000</v>
      </c>
      <c r="H6" s="446">
        <v>3000</v>
      </c>
      <c r="I6" s="446">
        <v>4500</v>
      </c>
      <c r="J6" s="446">
        <v>5000</v>
      </c>
      <c r="K6" s="446">
        <v>5000</v>
      </c>
      <c r="L6" s="446">
        <v>5000</v>
      </c>
      <c r="M6" s="446">
        <v>3000</v>
      </c>
      <c r="N6" s="446">
        <v>3000</v>
      </c>
      <c r="O6" s="446">
        <v>3500</v>
      </c>
    </row>
    <row r="7" spans="1:15" s="36" customFormat="1" ht="18.75" hidden="1" customHeight="1" x14ac:dyDescent="0.3">
      <c r="A7" s="47" t="s">
        <v>276</v>
      </c>
      <c r="B7" s="39">
        <v>15000</v>
      </c>
      <c r="C7" s="39"/>
      <c r="D7" s="39"/>
      <c r="E7" s="39"/>
      <c r="F7" s="446"/>
      <c r="G7" s="446"/>
      <c r="H7" s="446"/>
      <c r="I7" s="446"/>
      <c r="J7" s="446"/>
      <c r="K7" s="446"/>
      <c r="L7" s="446"/>
      <c r="M7" s="446"/>
      <c r="N7" s="446"/>
      <c r="O7" s="446"/>
    </row>
    <row r="8" spans="1:15" s="36" customFormat="1" ht="18.75" hidden="1" customHeight="1" x14ac:dyDescent="0.3">
      <c r="A8" s="47" t="s">
        <v>301</v>
      </c>
      <c r="B8" s="39"/>
      <c r="C8" s="39"/>
      <c r="D8" s="39"/>
      <c r="E8" s="39"/>
      <c r="F8" s="446"/>
      <c r="G8" s="446"/>
      <c r="H8" s="446"/>
      <c r="I8" s="446"/>
      <c r="J8" s="446"/>
      <c r="K8" s="446"/>
      <c r="L8" s="446"/>
      <c r="M8" s="446"/>
      <c r="N8" s="446"/>
      <c r="O8" s="446"/>
    </row>
    <row r="9" spans="1:15" ht="18.75" customHeight="1" x14ac:dyDescent="0.3">
      <c r="A9" s="47" t="s">
        <v>232</v>
      </c>
      <c r="B9" s="39">
        <v>1000</v>
      </c>
      <c r="C9" s="39">
        <v>450</v>
      </c>
      <c r="D9" s="39">
        <v>200</v>
      </c>
      <c r="E9" s="39">
        <v>200</v>
      </c>
      <c r="F9" s="446">
        <v>200</v>
      </c>
      <c r="G9" s="446">
        <v>300</v>
      </c>
      <c r="H9" s="446">
        <v>300</v>
      </c>
      <c r="I9" s="446">
        <v>450</v>
      </c>
      <c r="J9" s="446">
        <v>450</v>
      </c>
      <c r="K9" s="446">
        <v>450</v>
      </c>
      <c r="L9" s="446">
        <v>450</v>
      </c>
      <c r="M9" s="446">
        <v>450</v>
      </c>
      <c r="N9" s="446">
        <v>450</v>
      </c>
      <c r="O9" s="446">
        <v>500</v>
      </c>
    </row>
    <row r="10" spans="1:15" ht="18.75" customHeight="1" x14ac:dyDescent="0.3">
      <c r="A10" s="47" t="s">
        <v>231</v>
      </c>
      <c r="B10" s="39">
        <v>1500</v>
      </c>
      <c r="C10" s="39">
        <v>1000</v>
      </c>
      <c r="D10" s="39">
        <v>1500</v>
      </c>
      <c r="E10" s="39">
        <v>1000</v>
      </c>
      <c r="F10" s="446">
        <v>1000</v>
      </c>
      <c r="G10" s="446">
        <v>1000</v>
      </c>
      <c r="H10" s="446">
        <v>1000</v>
      </c>
      <c r="I10" s="446">
        <v>1200</v>
      </c>
      <c r="J10" s="446">
        <v>1200</v>
      </c>
      <c r="K10" s="446">
        <v>1200</v>
      </c>
      <c r="L10" s="446">
        <v>1200</v>
      </c>
      <c r="M10" s="446">
        <v>1200</v>
      </c>
      <c r="N10" s="446">
        <v>1200</v>
      </c>
      <c r="O10" s="446">
        <v>1500</v>
      </c>
    </row>
    <row r="11" spans="1:15" ht="18.75" hidden="1" customHeight="1" x14ac:dyDescent="0.3">
      <c r="A11" s="47" t="s">
        <v>247</v>
      </c>
      <c r="B11" s="39">
        <v>600</v>
      </c>
      <c r="C11" s="39"/>
      <c r="D11" s="39"/>
      <c r="E11" s="39"/>
      <c r="F11" s="446"/>
      <c r="G11" s="446"/>
      <c r="H11" s="446"/>
      <c r="I11" s="446"/>
      <c r="J11" s="446"/>
      <c r="K11" s="446"/>
      <c r="L11" s="446"/>
      <c r="M11" s="446"/>
      <c r="N11" s="446"/>
      <c r="O11" s="446"/>
    </row>
    <row r="12" spans="1:15" ht="18.75" hidden="1" customHeight="1" x14ac:dyDescent="0.3">
      <c r="A12" s="47" t="s">
        <v>249</v>
      </c>
      <c r="B12" s="39">
        <v>500</v>
      </c>
      <c r="C12" s="39"/>
      <c r="D12" s="39"/>
      <c r="E12" s="39"/>
      <c r="F12" s="446"/>
      <c r="G12" s="446"/>
      <c r="H12" s="446"/>
      <c r="I12" s="446"/>
      <c r="J12" s="446"/>
      <c r="K12" s="446"/>
      <c r="L12" s="446"/>
      <c r="M12" s="446"/>
      <c r="N12" s="446"/>
      <c r="O12" s="446"/>
    </row>
    <row r="13" spans="1:15" ht="18.75" customHeight="1" x14ac:dyDescent="0.3">
      <c r="A13" s="47" t="s">
        <v>248</v>
      </c>
      <c r="B13" s="39">
        <v>900</v>
      </c>
      <c r="C13" s="39">
        <v>850</v>
      </c>
      <c r="D13" s="39">
        <v>850</v>
      </c>
      <c r="E13" s="39">
        <v>500</v>
      </c>
      <c r="F13" s="446">
        <v>500</v>
      </c>
      <c r="G13" s="446">
        <v>500</v>
      </c>
      <c r="H13" s="446">
        <v>500</v>
      </c>
      <c r="I13" s="446">
        <v>500</v>
      </c>
      <c r="J13" s="446">
        <v>600</v>
      </c>
      <c r="K13" s="446">
        <v>600</v>
      </c>
      <c r="L13" s="446">
        <v>600</v>
      </c>
      <c r="M13" s="446">
        <v>600</v>
      </c>
      <c r="N13" s="446">
        <v>600</v>
      </c>
      <c r="O13" s="446">
        <v>600</v>
      </c>
    </row>
    <row r="14" spans="1:15" ht="18.75" customHeight="1" x14ac:dyDescent="0.3">
      <c r="A14" s="47" t="s">
        <v>246</v>
      </c>
      <c r="B14" s="39">
        <v>2000</v>
      </c>
      <c r="C14" s="39">
        <v>1000</v>
      </c>
      <c r="D14" s="39">
        <v>1500</v>
      </c>
      <c r="E14" s="39">
        <v>4500</v>
      </c>
      <c r="F14" s="446">
        <v>2500</v>
      </c>
      <c r="G14" s="446">
        <v>4500</v>
      </c>
      <c r="H14" s="446">
        <v>10000</v>
      </c>
      <c r="I14" s="446">
        <v>10000</v>
      </c>
      <c r="J14" s="446">
        <v>10000</v>
      </c>
      <c r="K14" s="446">
        <v>10000</v>
      </c>
      <c r="L14" s="446">
        <v>10000</v>
      </c>
      <c r="M14" s="446">
        <v>10000</v>
      </c>
      <c r="N14" s="446">
        <v>10000</v>
      </c>
      <c r="O14" s="446">
        <v>12000</v>
      </c>
    </row>
    <row r="15" spans="1:15" ht="18.75" customHeight="1" x14ac:dyDescent="0.3">
      <c r="A15" s="47" t="s">
        <v>438</v>
      </c>
      <c r="B15" s="534"/>
      <c r="C15" s="39"/>
      <c r="D15" s="39"/>
      <c r="E15" s="39">
        <f>150*40</f>
        <v>6000</v>
      </c>
      <c r="F15" s="446">
        <v>5000</v>
      </c>
      <c r="G15" s="446">
        <v>4500</v>
      </c>
      <c r="H15" s="446">
        <v>4500</v>
      </c>
      <c r="I15" s="446">
        <v>3800</v>
      </c>
      <c r="J15" s="446">
        <v>4000</v>
      </c>
      <c r="K15" s="446">
        <v>4000</v>
      </c>
      <c r="L15" s="446">
        <v>4000</v>
      </c>
      <c r="M15" s="446">
        <v>4000</v>
      </c>
      <c r="N15" s="446">
        <v>4000</v>
      </c>
      <c r="O15" s="446">
        <v>5000</v>
      </c>
    </row>
    <row r="16" spans="1:15" ht="18.75" customHeight="1" x14ac:dyDescent="0.3">
      <c r="A16" s="47" t="s">
        <v>684</v>
      </c>
      <c r="B16" s="534"/>
      <c r="C16" s="39"/>
      <c r="D16" s="39"/>
      <c r="E16" s="39"/>
      <c r="F16" s="446"/>
      <c r="G16" s="446"/>
      <c r="H16" s="446"/>
      <c r="I16" s="446"/>
      <c r="J16" s="446"/>
      <c r="K16" s="446"/>
      <c r="L16" s="446"/>
      <c r="M16" s="446">
        <v>12000</v>
      </c>
      <c r="N16" s="446">
        <v>0</v>
      </c>
      <c r="O16" s="446">
        <v>12000</v>
      </c>
    </row>
    <row r="17" spans="1:15" ht="16.5" customHeight="1" x14ac:dyDescent="0.3">
      <c r="A17" s="47" t="s">
        <v>724</v>
      </c>
      <c r="B17" s="39"/>
      <c r="C17" s="39"/>
      <c r="D17" s="39"/>
      <c r="E17" s="39"/>
      <c r="F17" s="446"/>
      <c r="G17" s="446"/>
      <c r="H17" s="446"/>
      <c r="I17" s="446"/>
      <c r="J17" s="446"/>
      <c r="K17" s="446"/>
      <c r="L17" s="446"/>
      <c r="M17" s="446"/>
      <c r="N17" s="446">
        <v>6000</v>
      </c>
      <c r="O17" s="446">
        <v>0</v>
      </c>
    </row>
    <row r="18" spans="1:15" ht="16.5" customHeight="1" thickBot="1" x14ac:dyDescent="0.35">
      <c r="A18" s="214"/>
      <c r="B18" s="50"/>
      <c r="C18" s="72"/>
      <c r="D18" s="72"/>
      <c r="E18" s="72"/>
      <c r="F18" s="467"/>
      <c r="G18" s="467"/>
      <c r="H18" s="467"/>
      <c r="I18" s="467"/>
      <c r="J18" s="467"/>
      <c r="K18" s="467"/>
      <c r="L18" s="467"/>
      <c r="M18" s="467"/>
      <c r="N18" s="467"/>
      <c r="O18" s="467"/>
    </row>
    <row r="19" spans="1:15" ht="18.75" customHeight="1" thickTop="1" x14ac:dyDescent="0.3">
      <c r="A19" s="73" t="s">
        <v>95</v>
      </c>
      <c r="B19" s="61">
        <f>SUM(B4:B18)</f>
        <v>25800</v>
      </c>
      <c r="C19" s="61">
        <f>SUM(C4:C18)</f>
        <v>8900</v>
      </c>
      <c r="D19" s="61">
        <f>SUM(D4:D18)</f>
        <v>9250</v>
      </c>
      <c r="E19" s="61">
        <f t="shared" ref="E19:J19" si="0">SUM(E4:E18)</f>
        <v>15700</v>
      </c>
      <c r="F19" s="468">
        <f t="shared" si="0"/>
        <v>11200</v>
      </c>
      <c r="G19" s="468">
        <f t="shared" si="0"/>
        <v>13800</v>
      </c>
      <c r="H19" s="468">
        <f t="shared" si="0"/>
        <v>19300</v>
      </c>
      <c r="I19" s="468">
        <f t="shared" si="0"/>
        <v>20450</v>
      </c>
      <c r="J19" s="468">
        <f t="shared" si="0"/>
        <v>21250</v>
      </c>
      <c r="K19" s="468">
        <f>SUM(K4:K18)</f>
        <v>21250</v>
      </c>
      <c r="L19" s="468">
        <f>SUM(L4:L18)</f>
        <v>21250</v>
      </c>
      <c r="M19" s="468">
        <f>SUM(M4:M18)</f>
        <v>31250</v>
      </c>
      <c r="N19" s="468">
        <f>SUM(N4:N18)</f>
        <v>25250</v>
      </c>
      <c r="O19" s="468">
        <f>SUM(O4:O18)</f>
        <v>35100</v>
      </c>
    </row>
    <row r="20" spans="1:15" ht="15" customHeight="1" x14ac:dyDescent="0.3">
      <c r="A20"/>
      <c r="B20"/>
      <c r="C20"/>
      <c r="D20"/>
      <c r="E20"/>
      <c r="F20"/>
      <c r="G20"/>
      <c r="H20"/>
    </row>
    <row r="21" spans="1:15" ht="15" customHeight="1" x14ac:dyDescent="0.3">
      <c r="A21" s="591"/>
      <c r="B21"/>
      <c r="C21"/>
      <c r="D21"/>
      <c r="E21"/>
      <c r="F21"/>
      <c r="G21"/>
      <c r="H21"/>
    </row>
    <row r="22" spans="1:15" ht="15" customHeight="1" x14ac:dyDescent="0.3">
      <c r="A22"/>
      <c r="B22"/>
      <c r="C22"/>
      <c r="D22"/>
      <c r="E22"/>
      <c r="F22"/>
      <c r="G22"/>
      <c r="H22"/>
    </row>
    <row r="23" spans="1:15" ht="15" customHeight="1" x14ac:dyDescent="0.3">
      <c r="A23"/>
      <c r="B23"/>
      <c r="C23"/>
      <c r="D23"/>
      <c r="E23"/>
      <c r="F23"/>
      <c r="G23"/>
      <c r="H23"/>
    </row>
    <row r="24" spans="1:15" ht="15" customHeight="1" x14ac:dyDescent="0.3">
      <c r="A24"/>
      <c r="B24"/>
      <c r="C24"/>
      <c r="D24"/>
      <c r="E24"/>
      <c r="F24"/>
      <c r="G24"/>
      <c r="H24"/>
    </row>
    <row r="25" spans="1:15" ht="15" customHeight="1" x14ac:dyDescent="0.3">
      <c r="A25"/>
      <c r="B25"/>
      <c r="C25"/>
      <c r="D25"/>
      <c r="E25"/>
      <c r="F25"/>
      <c r="G25"/>
      <c r="H25"/>
    </row>
    <row r="26" spans="1:15" ht="15" customHeight="1" x14ac:dyDescent="0.3">
      <c r="A26"/>
      <c r="B26"/>
      <c r="C26"/>
      <c r="D26"/>
      <c r="E26"/>
      <c r="F26"/>
      <c r="G26"/>
      <c r="H26"/>
    </row>
    <row r="27" spans="1:15" ht="15" customHeight="1" x14ac:dyDescent="0.3">
      <c r="A27"/>
      <c r="B27"/>
      <c r="C27"/>
      <c r="D27"/>
      <c r="E27"/>
      <c r="F27"/>
      <c r="G27"/>
      <c r="H27"/>
    </row>
    <row r="28" spans="1:15" ht="18.75" customHeight="1" x14ac:dyDescent="0.3">
      <c r="A28"/>
      <c r="B28"/>
      <c r="C28"/>
      <c r="D28"/>
      <c r="E28"/>
      <c r="F28"/>
      <c r="G28"/>
      <c r="H28"/>
    </row>
    <row r="29" spans="1:15" ht="18.75" customHeight="1" x14ac:dyDescent="0.3">
      <c r="A29"/>
      <c r="B29"/>
      <c r="C29"/>
      <c r="D29"/>
      <c r="E29"/>
      <c r="F29"/>
      <c r="G29"/>
      <c r="H29"/>
    </row>
  </sheetData>
  <sortState xmlns:xlrd2="http://schemas.microsoft.com/office/spreadsheetml/2017/richdata2" ref="A14:E15">
    <sortCondition ref="A14:A1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1"/>
  <sheetViews>
    <sheetView workbookViewId="0"/>
  </sheetViews>
  <sheetFormatPr defaultRowHeight="12.75" x14ac:dyDescent="0.2"/>
  <cols>
    <col min="1" max="1" width="30.85546875" bestFit="1" customWidth="1"/>
    <col min="2" max="2" width="11.85546875" hidden="1" customWidth="1"/>
    <col min="3" max="3" width="12.42578125" hidden="1" customWidth="1"/>
    <col min="4" max="8" width="12.7109375" hidden="1" customWidth="1"/>
    <col min="9" max="9" width="8.7109375" hidden="1" customWidth="1"/>
    <col min="10" max="12" width="0" hidden="1" customWidth="1"/>
  </cols>
  <sheetData>
    <row r="1" spans="1:15" ht="23.25" customHeight="1" x14ac:dyDescent="0.25">
      <c r="A1" s="200" t="s">
        <v>289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25.5" customHeight="1" x14ac:dyDescent="0.3">
      <c r="A2" s="31" t="s">
        <v>97</v>
      </c>
      <c r="B2" s="200"/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  <c r="O2" s="31">
        <v>2025</v>
      </c>
    </row>
    <row r="3" spans="1:15" ht="18.95" customHeight="1" x14ac:dyDescent="0.25">
      <c r="A3" s="211"/>
      <c r="B3" s="200"/>
      <c r="C3" s="211"/>
      <c r="D3" s="211"/>
      <c r="E3" s="211"/>
      <c r="F3" s="458"/>
      <c r="G3" s="458"/>
      <c r="H3" s="458"/>
      <c r="I3" s="458"/>
      <c r="J3" s="458"/>
      <c r="K3" s="458"/>
      <c r="L3" s="458"/>
      <c r="M3" s="458"/>
      <c r="N3" s="458"/>
      <c r="O3" s="458"/>
    </row>
    <row r="4" spans="1:15" ht="18.95" customHeight="1" x14ac:dyDescent="0.3">
      <c r="A4" s="47" t="s">
        <v>290</v>
      </c>
      <c r="B4" s="200"/>
      <c r="C4" s="32">
        <v>2100</v>
      </c>
      <c r="D4" s="32">
        <v>2300</v>
      </c>
      <c r="E4" s="32">
        <v>2300</v>
      </c>
      <c r="F4" s="401">
        <v>2300</v>
      </c>
      <c r="G4" s="401">
        <v>2300</v>
      </c>
      <c r="H4" s="401">
        <v>2300</v>
      </c>
      <c r="I4" s="401">
        <v>2400</v>
      </c>
      <c r="J4" s="401">
        <v>2400</v>
      </c>
      <c r="K4" s="401">
        <v>2400</v>
      </c>
      <c r="L4" s="401">
        <v>2800</v>
      </c>
      <c r="M4" s="401">
        <v>2800</v>
      </c>
      <c r="N4" s="401">
        <v>1500</v>
      </c>
      <c r="O4" s="401">
        <v>0</v>
      </c>
    </row>
    <row r="5" spans="1:15" ht="22.5" customHeight="1" x14ac:dyDescent="0.3">
      <c r="A5" s="47" t="s">
        <v>293</v>
      </c>
      <c r="B5" s="200"/>
      <c r="C5" s="32">
        <v>275</v>
      </c>
      <c r="D5" s="32">
        <v>300</v>
      </c>
      <c r="E5" s="32">
        <v>300</v>
      </c>
      <c r="F5" s="401">
        <v>300</v>
      </c>
      <c r="G5" s="401">
        <v>300</v>
      </c>
      <c r="H5" s="401">
        <v>300</v>
      </c>
      <c r="I5" s="401">
        <f t="shared" ref="I5:N5" si="0">I4*0.0825</f>
        <v>198</v>
      </c>
      <c r="J5" s="401">
        <f t="shared" si="0"/>
        <v>198</v>
      </c>
      <c r="K5" s="401">
        <f t="shared" si="0"/>
        <v>198</v>
      </c>
      <c r="L5" s="401">
        <f t="shared" si="0"/>
        <v>231</v>
      </c>
      <c r="M5" s="401">
        <f t="shared" si="0"/>
        <v>231</v>
      </c>
      <c r="N5" s="401">
        <f t="shared" si="0"/>
        <v>123.75</v>
      </c>
      <c r="O5" s="401">
        <f t="shared" ref="O5" si="1">O4*0.0825</f>
        <v>0</v>
      </c>
    </row>
    <row r="6" spans="1:15" ht="18.95" customHeight="1" x14ac:dyDescent="0.3">
      <c r="A6" s="532"/>
      <c r="B6" s="200"/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</row>
    <row r="7" spans="1:15" ht="18.95" customHeight="1" x14ac:dyDescent="0.3">
      <c r="A7" s="47"/>
      <c r="B7" s="200"/>
      <c r="C7" s="32"/>
      <c r="D7" s="32"/>
      <c r="E7" s="32"/>
      <c r="F7" s="401"/>
      <c r="G7" s="401"/>
      <c r="H7" s="401"/>
      <c r="I7" s="401"/>
      <c r="J7" s="401"/>
      <c r="K7" s="401"/>
      <c r="L7" s="401"/>
      <c r="M7" s="401"/>
      <c r="N7" s="401"/>
      <c r="O7" s="401"/>
    </row>
    <row r="8" spans="1:15" ht="18.95" customHeight="1" x14ac:dyDescent="0.3">
      <c r="A8" s="74"/>
      <c r="B8" s="200"/>
      <c r="C8" s="75"/>
      <c r="D8" s="75"/>
      <c r="E8" s="75"/>
      <c r="F8" s="439"/>
      <c r="G8" s="439"/>
      <c r="H8" s="439"/>
      <c r="I8" s="439"/>
      <c r="J8" s="439"/>
      <c r="K8" s="439"/>
      <c r="L8" s="439"/>
      <c r="M8" s="439"/>
      <c r="N8" s="439"/>
      <c r="O8" s="439"/>
    </row>
    <row r="9" spans="1:15" ht="18.95" customHeight="1" thickBot="1" x14ac:dyDescent="0.35">
      <c r="A9" s="43"/>
      <c r="B9" s="200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</row>
    <row r="10" spans="1:15" ht="18.95" customHeight="1" thickTop="1" x14ac:dyDescent="0.3">
      <c r="A10" s="73" t="s">
        <v>95</v>
      </c>
      <c r="B10" s="200"/>
      <c r="C10" s="79">
        <f t="shared" ref="C10:H10" si="2">SUM(C4:C9)</f>
        <v>2375</v>
      </c>
      <c r="D10" s="79">
        <f t="shared" si="2"/>
        <v>2600</v>
      </c>
      <c r="E10" s="79">
        <f t="shared" si="2"/>
        <v>2600</v>
      </c>
      <c r="F10" s="465">
        <f t="shared" si="2"/>
        <v>2600</v>
      </c>
      <c r="G10" s="465">
        <f t="shared" si="2"/>
        <v>2600</v>
      </c>
      <c r="H10" s="465">
        <f t="shared" si="2"/>
        <v>2600</v>
      </c>
      <c r="I10" s="465">
        <f t="shared" ref="I10:N10" si="3">SUM(I4:I9)</f>
        <v>2598</v>
      </c>
      <c r="J10" s="465">
        <f t="shared" si="3"/>
        <v>2598</v>
      </c>
      <c r="K10" s="465">
        <f t="shared" si="3"/>
        <v>2598</v>
      </c>
      <c r="L10" s="465">
        <f t="shared" si="3"/>
        <v>3031</v>
      </c>
      <c r="M10" s="465">
        <f t="shared" si="3"/>
        <v>3031</v>
      </c>
      <c r="N10" s="465">
        <f t="shared" si="3"/>
        <v>1623.75</v>
      </c>
      <c r="O10" s="465">
        <f>SUM(O4:O9)</f>
        <v>0</v>
      </c>
    </row>
    <row r="11" spans="1:15" x14ac:dyDescent="0.2">
      <c r="A11" s="201"/>
      <c r="B11" s="201"/>
      <c r="C11" s="15"/>
      <c r="D11" s="15"/>
      <c r="E11" s="190"/>
      <c r="F11" s="190"/>
      <c r="G11" s="190"/>
      <c r="H11" s="190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31"/>
  <sheetViews>
    <sheetView workbookViewId="0"/>
  </sheetViews>
  <sheetFormatPr defaultColWidth="9.140625" defaultRowHeight="12.75" x14ac:dyDescent="0.2"/>
  <cols>
    <col min="1" max="1" width="45.140625" style="15" customWidth="1"/>
    <col min="2" max="2" width="14.7109375" style="15" hidden="1" customWidth="1"/>
    <col min="3" max="5" width="11.28515625" style="15" hidden="1" customWidth="1"/>
    <col min="6" max="6" width="11.5703125" style="15" hidden="1" customWidth="1"/>
    <col min="7" max="9" width="11.28515625" style="15" hidden="1" customWidth="1"/>
    <col min="10" max="11" width="11" style="15" hidden="1" customWidth="1"/>
    <col min="12" max="12" width="12" style="15" hidden="1" customWidth="1"/>
    <col min="13" max="13" width="11" style="15" bestFit="1" customWidth="1"/>
    <col min="14" max="15" width="11" style="15" customWidth="1"/>
    <col min="16" max="16" width="10.7109375" style="15" bestFit="1" customWidth="1"/>
    <col min="17" max="16384" width="9.140625" style="15"/>
  </cols>
  <sheetData>
    <row r="1" spans="1:17" ht="16.5" x14ac:dyDescent="0.3">
      <c r="A1" s="167" t="s">
        <v>464</v>
      </c>
      <c r="B1" s="167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8"/>
    </row>
    <row r="2" spans="1:17" ht="18.75" customHeight="1" x14ac:dyDescent="0.3">
      <c r="A2" s="503"/>
      <c r="B2" s="503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18"/>
    </row>
    <row r="3" spans="1:17" ht="18.75" customHeight="1" x14ac:dyDescent="0.3">
      <c r="A3" s="146" t="s">
        <v>97</v>
      </c>
      <c r="B3" s="146"/>
      <c r="C3" s="290">
        <v>2013</v>
      </c>
      <c r="D3" s="290">
        <v>2014</v>
      </c>
      <c r="E3" s="290">
        <v>2015</v>
      </c>
      <c r="F3" s="290">
        <v>2016</v>
      </c>
      <c r="G3" s="290">
        <v>2017</v>
      </c>
      <c r="H3" s="290">
        <v>2018</v>
      </c>
      <c r="I3" s="290">
        <v>2019</v>
      </c>
      <c r="J3" s="290">
        <v>2020</v>
      </c>
      <c r="K3" s="290">
        <v>2021</v>
      </c>
      <c r="L3" s="290">
        <v>2022</v>
      </c>
      <c r="M3" s="290">
        <v>2023</v>
      </c>
      <c r="N3" s="290">
        <v>2024</v>
      </c>
      <c r="O3" s="290">
        <v>2025</v>
      </c>
      <c r="P3" s="18"/>
    </row>
    <row r="4" spans="1:17" ht="20.100000000000001" customHeight="1" x14ac:dyDescent="0.3">
      <c r="A4" s="42" t="s">
        <v>171</v>
      </c>
      <c r="B4" s="50"/>
      <c r="C4" s="77">
        <v>148260</v>
      </c>
      <c r="D4" s="77">
        <v>156333.63</v>
      </c>
      <c r="E4" s="77">
        <v>164446.14000000001</v>
      </c>
      <c r="F4" s="464">
        <v>168094.01</v>
      </c>
      <c r="G4" s="464">
        <v>174842</v>
      </c>
      <c r="H4" s="464">
        <v>193577</v>
      </c>
      <c r="I4" s="464">
        <v>211655</v>
      </c>
      <c r="J4" s="464">
        <v>225078</v>
      </c>
      <c r="K4" s="464">
        <v>238455</v>
      </c>
      <c r="L4" s="464">
        <v>268578</v>
      </c>
      <c r="M4" s="464">
        <v>306715</v>
      </c>
      <c r="N4" s="464">
        <v>319515</v>
      </c>
      <c r="O4" s="464">
        <v>358495</v>
      </c>
      <c r="P4" s="505"/>
    </row>
    <row r="5" spans="1:17" ht="20.100000000000001" customHeight="1" x14ac:dyDescent="0.3">
      <c r="A5" s="50" t="s">
        <v>722</v>
      </c>
      <c r="B5" s="50"/>
      <c r="C5" s="77">
        <v>5250</v>
      </c>
      <c r="D5" s="77">
        <v>5250</v>
      </c>
      <c r="E5" s="77">
        <v>5250</v>
      </c>
      <c r="F5" s="464">
        <v>5250</v>
      </c>
      <c r="G5" s="464">
        <v>5250</v>
      </c>
      <c r="H5" s="464">
        <v>5250</v>
      </c>
      <c r="I5" s="464">
        <v>5250</v>
      </c>
      <c r="J5" s="464">
        <v>5250</v>
      </c>
      <c r="K5" s="464">
        <v>5250</v>
      </c>
      <c r="L5" s="464">
        <v>5250</v>
      </c>
      <c r="M5" s="464">
        <v>5250</v>
      </c>
      <c r="N5" s="464">
        <f>(86.7*36)+2500</f>
        <v>5621.2000000000007</v>
      </c>
      <c r="O5" s="464">
        <f>(86.7*36)+2500</f>
        <v>5621.2000000000007</v>
      </c>
      <c r="P5" s="506"/>
    </row>
    <row r="6" spans="1:17" ht="20.100000000000001" customHeight="1" x14ac:dyDescent="0.3">
      <c r="A6" s="507" t="s">
        <v>233</v>
      </c>
      <c r="B6" s="512"/>
      <c r="C6" s="508">
        <v>240759.72</v>
      </c>
      <c r="D6" s="667">
        <v>349857.84</v>
      </c>
      <c r="E6" s="667">
        <v>376097.18</v>
      </c>
      <c r="F6" s="665">
        <v>404304.47</v>
      </c>
      <c r="G6" s="665">
        <f>(40000*12)-86000</f>
        <v>394000</v>
      </c>
      <c r="H6" s="665">
        <f>(40000*12)</f>
        <v>480000</v>
      </c>
      <c r="I6" s="665">
        <f>(40000*12)</f>
        <v>480000</v>
      </c>
      <c r="J6" s="665">
        <v>511253</v>
      </c>
      <c r="K6" s="665">
        <f>((1428.42+96.76+18.28+0.078+0.03)*33*12)-100000</f>
        <v>511252.92799999996</v>
      </c>
      <c r="L6" s="665">
        <v>548659</v>
      </c>
      <c r="M6" s="665">
        <v>617628</v>
      </c>
      <c r="N6" s="665">
        <f>((1521.26+98.38+18.28+0.078+0.03)*36*12)-90000</f>
        <v>617628.0959999999</v>
      </c>
      <c r="O6" s="665">
        <f>((1139.29+65.99+9.05+0.078+0.03)*37*12)</f>
        <v>539210.47199999995</v>
      </c>
      <c r="P6" s="662">
        <f>SUM(O6:O8)</f>
        <v>539210.47199999995</v>
      </c>
    </row>
    <row r="7" spans="1:17" ht="20.100000000000001" hidden="1" customHeight="1" x14ac:dyDescent="0.3">
      <c r="A7" s="50" t="s">
        <v>629</v>
      </c>
      <c r="B7" s="603"/>
      <c r="C7" s="509"/>
      <c r="D7" s="668"/>
      <c r="E7" s="668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3"/>
      <c r="Q7" s="191"/>
    </row>
    <row r="8" spans="1:17" ht="20.100000000000001" customHeight="1" x14ac:dyDescent="0.3">
      <c r="A8" s="80" t="s">
        <v>462</v>
      </c>
      <c r="B8" s="80"/>
      <c r="C8" s="305">
        <v>-25813</v>
      </c>
      <c r="D8" s="510">
        <v>-82791.240000000005</v>
      </c>
      <c r="E8" s="510">
        <v>-65497.18</v>
      </c>
      <c r="F8" s="511">
        <v>-40000</v>
      </c>
      <c r="G8" s="511">
        <v>0</v>
      </c>
      <c r="H8" s="511">
        <v>-86000</v>
      </c>
      <c r="I8" s="511">
        <v>-86000</v>
      </c>
      <c r="J8" s="511">
        <v>-86000</v>
      </c>
      <c r="K8" s="511">
        <v>-86000</v>
      </c>
      <c r="L8" s="511">
        <v>-86000</v>
      </c>
      <c r="M8" s="511">
        <v>-86000</v>
      </c>
      <c r="N8" s="511">
        <v>-86000</v>
      </c>
      <c r="O8" s="511"/>
      <c r="P8" s="664"/>
    </row>
    <row r="9" spans="1:17" ht="20.100000000000001" hidden="1" customHeight="1" x14ac:dyDescent="0.3">
      <c r="A9" s="512" t="s">
        <v>520</v>
      </c>
      <c r="B9" s="512"/>
      <c r="C9" s="513">
        <v>10437.700000000001</v>
      </c>
      <c r="D9" s="513">
        <v>10600</v>
      </c>
      <c r="E9" s="513">
        <v>10600</v>
      </c>
      <c r="F9" s="514">
        <v>11000</v>
      </c>
      <c r="G9" s="514">
        <f>(1600*12)-7200</f>
        <v>12000</v>
      </c>
      <c r="H9" s="514">
        <f>(1600*12)-7200</f>
        <v>12000</v>
      </c>
      <c r="I9" s="514">
        <f>(1800*12)-7200</f>
        <v>14400</v>
      </c>
      <c r="J9" s="514">
        <v>0</v>
      </c>
      <c r="K9" s="514">
        <v>0</v>
      </c>
      <c r="L9" s="514">
        <v>0</v>
      </c>
      <c r="M9" s="514">
        <v>0</v>
      </c>
      <c r="N9" s="514">
        <v>0</v>
      </c>
      <c r="O9" s="514">
        <v>0</v>
      </c>
      <c r="P9" s="515"/>
    </row>
    <row r="10" spans="1:17" ht="20.100000000000001" customHeight="1" x14ac:dyDescent="0.3">
      <c r="A10" s="507" t="s">
        <v>630</v>
      </c>
      <c r="B10" s="507"/>
      <c r="C10" s="516">
        <v>8048</v>
      </c>
      <c r="D10" s="516">
        <v>11500</v>
      </c>
      <c r="E10" s="516">
        <v>13600</v>
      </c>
      <c r="F10" s="517">
        <v>13600</v>
      </c>
      <c r="G10" s="517">
        <v>13600</v>
      </c>
      <c r="H10" s="517">
        <v>13600</v>
      </c>
      <c r="I10" s="517">
        <v>13800</v>
      </c>
      <c r="J10" s="517">
        <v>13800</v>
      </c>
      <c r="K10" s="517">
        <v>13800</v>
      </c>
      <c r="L10" s="517">
        <v>13800</v>
      </c>
      <c r="M10" s="517">
        <v>13800</v>
      </c>
      <c r="N10" s="517">
        <v>13800</v>
      </c>
      <c r="O10" s="517">
        <v>14000</v>
      </c>
      <c r="P10" s="662">
        <f>SUM(O10:O12)</f>
        <v>53400</v>
      </c>
    </row>
    <row r="11" spans="1:17" ht="20.100000000000001" customHeight="1" x14ac:dyDescent="0.3">
      <c r="A11" s="42" t="s">
        <v>605</v>
      </c>
      <c r="B11" s="42"/>
      <c r="C11" s="46">
        <v>2452</v>
      </c>
      <c r="D11" s="46"/>
      <c r="E11" s="46"/>
      <c r="F11" s="395">
        <v>0</v>
      </c>
      <c r="G11" s="395">
        <v>0</v>
      </c>
      <c r="H11" s="395">
        <v>0</v>
      </c>
      <c r="I11" s="395">
        <v>0</v>
      </c>
      <c r="J11" s="395">
        <f>2900*12</f>
        <v>34800</v>
      </c>
      <c r="K11" s="395">
        <f>2900*12</f>
        <v>34800</v>
      </c>
      <c r="L11" s="395">
        <f>2900*12</f>
        <v>34800</v>
      </c>
      <c r="M11" s="395">
        <f>2900*12</f>
        <v>34800</v>
      </c>
      <c r="N11" s="395">
        <f>3000*12</f>
        <v>36000</v>
      </c>
      <c r="O11" s="395">
        <f>3000*12</f>
        <v>36000</v>
      </c>
      <c r="P11" s="663"/>
    </row>
    <row r="12" spans="1:17" ht="20.100000000000001" customHeight="1" x14ac:dyDescent="0.3">
      <c r="A12" s="80" t="s">
        <v>274</v>
      </c>
      <c r="B12" s="80"/>
      <c r="C12" s="305">
        <v>3000</v>
      </c>
      <c r="D12" s="305">
        <v>2100</v>
      </c>
      <c r="E12" s="305">
        <v>3000</v>
      </c>
      <c r="F12" s="396">
        <v>3000</v>
      </c>
      <c r="G12" s="396">
        <v>3000</v>
      </c>
      <c r="H12" s="396">
        <v>3000</v>
      </c>
      <c r="I12" s="396">
        <v>3200</v>
      </c>
      <c r="J12" s="396">
        <v>3200</v>
      </c>
      <c r="K12" s="396">
        <v>3200</v>
      </c>
      <c r="L12" s="396">
        <v>3200</v>
      </c>
      <c r="M12" s="396">
        <v>3200</v>
      </c>
      <c r="N12" s="396">
        <v>3400</v>
      </c>
      <c r="O12" s="396">
        <v>3400</v>
      </c>
      <c r="P12" s="664"/>
    </row>
    <row r="13" spans="1:17" ht="20.100000000000001" customHeight="1" x14ac:dyDescent="0.3">
      <c r="A13" s="507" t="s">
        <v>172</v>
      </c>
      <c r="B13" s="507"/>
      <c r="C13" s="518">
        <v>36743.928508249599</v>
      </c>
      <c r="D13" s="518">
        <v>36743.93</v>
      </c>
      <c r="E13" s="518">
        <v>37225.24</v>
      </c>
      <c r="F13" s="519">
        <v>38202.44</v>
      </c>
      <c r="G13" s="519">
        <v>39645</v>
      </c>
      <c r="H13" s="519">
        <v>48128</v>
      </c>
      <c r="I13" s="519">
        <v>53130</v>
      </c>
      <c r="J13" s="519">
        <v>61519</v>
      </c>
      <c r="K13" s="519">
        <v>61519</v>
      </c>
      <c r="L13" s="519">
        <v>73855</v>
      </c>
      <c r="M13" s="519">
        <v>83250</v>
      </c>
      <c r="N13" s="519">
        <v>86815</v>
      </c>
      <c r="O13" s="519">
        <v>91088</v>
      </c>
      <c r="P13" s="662">
        <f>SUM(O13:O17)</f>
        <v>92676</v>
      </c>
      <c r="Q13" s="191"/>
    </row>
    <row r="14" spans="1:17" ht="20.100000000000001" customHeight="1" x14ac:dyDescent="0.3">
      <c r="A14" s="42" t="s">
        <v>173</v>
      </c>
      <c r="B14" s="42"/>
      <c r="C14" s="78">
        <v>1046.0347559270401</v>
      </c>
      <c r="D14" s="78">
        <v>1046.03</v>
      </c>
      <c r="E14" s="78">
        <v>1370.91</v>
      </c>
      <c r="F14" s="520">
        <v>1385.5</v>
      </c>
      <c r="G14" s="520">
        <v>1462</v>
      </c>
      <c r="H14" s="520">
        <v>972</v>
      </c>
      <c r="I14" s="520">
        <v>976</v>
      </c>
      <c r="J14" s="520">
        <v>277</v>
      </c>
      <c r="K14" s="520">
        <v>277</v>
      </c>
      <c r="L14" s="520">
        <v>458</v>
      </c>
      <c r="M14" s="520">
        <v>535</v>
      </c>
      <c r="N14" s="520">
        <v>561</v>
      </c>
      <c r="O14" s="520">
        <v>742</v>
      </c>
      <c r="P14" s="663"/>
    </row>
    <row r="15" spans="1:17" ht="20.100000000000001" customHeight="1" x14ac:dyDescent="0.3">
      <c r="A15" s="50" t="s">
        <v>33</v>
      </c>
      <c r="B15" s="50"/>
      <c r="C15" s="78">
        <v>443.52</v>
      </c>
      <c r="D15" s="78">
        <v>443.52</v>
      </c>
      <c r="E15" s="78">
        <v>443.52</v>
      </c>
      <c r="F15" s="520" t="e">
        <f>#REF!</f>
        <v>#REF!</v>
      </c>
      <c r="G15" s="520">
        <v>444</v>
      </c>
      <c r="H15" s="520">
        <v>444</v>
      </c>
      <c r="I15" s="520">
        <v>444</v>
      </c>
      <c r="J15" s="520">
        <v>444</v>
      </c>
      <c r="K15" s="520">
        <v>444</v>
      </c>
      <c r="L15" s="520">
        <v>444</v>
      </c>
      <c r="M15" s="520">
        <v>444</v>
      </c>
      <c r="N15" s="520">
        <v>444</v>
      </c>
      <c r="O15" s="520">
        <v>444</v>
      </c>
      <c r="P15" s="663"/>
    </row>
    <row r="16" spans="1:17" ht="20.100000000000001" customHeight="1" x14ac:dyDescent="0.3">
      <c r="A16" s="50" t="s">
        <v>558</v>
      </c>
      <c r="B16" s="50"/>
      <c r="C16" s="78">
        <v>272.44800000000004</v>
      </c>
      <c r="D16" s="78">
        <v>272.45</v>
      </c>
      <c r="E16" s="78">
        <v>211.9</v>
      </c>
      <c r="F16" s="520" t="e">
        <f>#REF!/100*#REF!*#REF!*#REF!</f>
        <v>#REF!</v>
      </c>
      <c r="G16" s="520">
        <v>212</v>
      </c>
      <c r="H16" s="520">
        <v>303</v>
      </c>
      <c r="I16" s="520">
        <v>348</v>
      </c>
      <c r="J16" s="520">
        <v>348</v>
      </c>
      <c r="K16" s="520">
        <v>348</v>
      </c>
      <c r="L16" s="520">
        <v>348</v>
      </c>
      <c r="M16" s="520">
        <v>394</v>
      </c>
      <c r="N16" s="520">
        <v>394</v>
      </c>
      <c r="O16" s="520">
        <v>394</v>
      </c>
      <c r="P16" s="663"/>
    </row>
    <row r="17" spans="1:16" ht="20.100000000000001" customHeight="1" x14ac:dyDescent="0.3">
      <c r="A17" s="50" t="s">
        <v>559</v>
      </c>
      <c r="B17" s="50"/>
      <c r="C17" s="521">
        <v>8.2368000000000006</v>
      </c>
      <c r="D17" s="521">
        <v>8.24</v>
      </c>
      <c r="E17" s="521">
        <v>8.24</v>
      </c>
      <c r="F17" s="511" t="e">
        <f>3000/100*#REF!*#REF!*#REF!</f>
        <v>#REF!</v>
      </c>
      <c r="G17" s="511">
        <v>8</v>
      </c>
      <c r="H17" s="511">
        <v>8</v>
      </c>
      <c r="I17" s="511">
        <v>8</v>
      </c>
      <c r="J17" s="511">
        <v>8</v>
      </c>
      <c r="K17" s="511">
        <v>8</v>
      </c>
      <c r="L17" s="511">
        <v>8</v>
      </c>
      <c r="M17" s="511">
        <v>8</v>
      </c>
      <c r="N17" s="511">
        <v>8</v>
      </c>
      <c r="O17" s="511">
        <v>8</v>
      </c>
      <c r="P17" s="664"/>
    </row>
    <row r="18" spans="1:16" ht="20.100000000000001" hidden="1" customHeight="1" x14ac:dyDescent="0.3">
      <c r="A18" s="80" t="s">
        <v>305</v>
      </c>
      <c r="B18" s="494"/>
      <c r="C18" s="522">
        <v>-1589</v>
      </c>
      <c r="D18" s="522">
        <v>-1589</v>
      </c>
      <c r="E18" s="522">
        <v>-1589</v>
      </c>
      <c r="F18" s="523">
        <v>-1589</v>
      </c>
      <c r="G18" s="523">
        <v>0</v>
      </c>
      <c r="H18" s="523">
        <v>0</v>
      </c>
      <c r="I18" s="523">
        <v>0</v>
      </c>
      <c r="J18" s="523">
        <v>0</v>
      </c>
      <c r="K18" s="523">
        <v>0</v>
      </c>
      <c r="L18" s="523">
        <v>0</v>
      </c>
      <c r="M18" s="523">
        <v>0</v>
      </c>
      <c r="N18" s="523">
        <v>0</v>
      </c>
      <c r="O18" s="523">
        <v>0</v>
      </c>
      <c r="P18" s="613"/>
    </row>
    <row r="19" spans="1:16" ht="20.100000000000001" customHeight="1" x14ac:dyDescent="0.3">
      <c r="A19" s="50" t="s">
        <v>646</v>
      </c>
      <c r="B19" s="603"/>
      <c r="C19" s="610"/>
      <c r="D19" s="610"/>
      <c r="E19" s="610"/>
      <c r="F19" s="611"/>
      <c r="G19" s="611"/>
      <c r="H19" s="611"/>
      <c r="I19" s="611"/>
      <c r="J19" s="611">
        <v>0</v>
      </c>
      <c r="K19" s="611">
        <v>0</v>
      </c>
      <c r="L19" s="611">
        <v>2500</v>
      </c>
      <c r="M19" s="611">
        <v>2500</v>
      </c>
      <c r="N19" s="611">
        <v>2800</v>
      </c>
      <c r="O19" s="611">
        <v>3000</v>
      </c>
      <c r="P19" s="612"/>
    </row>
    <row r="20" spans="1:16" ht="20.100000000000001" customHeight="1" x14ac:dyDescent="0.3">
      <c r="A20" s="50" t="s">
        <v>372</v>
      </c>
      <c r="B20" s="50"/>
      <c r="C20" s="78">
        <v>15000</v>
      </c>
      <c r="D20" s="78">
        <v>15000</v>
      </c>
      <c r="E20" s="78">
        <v>20000</v>
      </c>
      <c r="F20" s="520">
        <v>22000</v>
      </c>
      <c r="G20" s="520">
        <v>22000</v>
      </c>
      <c r="H20" s="520">
        <v>18000</v>
      </c>
      <c r="I20" s="520">
        <v>20000</v>
      </c>
      <c r="J20" s="520">
        <v>30000</v>
      </c>
      <c r="K20" s="520">
        <v>30000</v>
      </c>
      <c r="L20" s="520">
        <v>30000</v>
      </c>
      <c r="M20" s="520">
        <v>30000</v>
      </c>
      <c r="N20" s="520">
        <f>(950*36)+10000</f>
        <v>44200</v>
      </c>
      <c r="O20" s="520">
        <f>(950*37)+12000</f>
        <v>47150</v>
      </c>
      <c r="P20" s="515"/>
    </row>
    <row r="21" spans="1:16" ht="20.100000000000001" customHeight="1" x14ac:dyDescent="0.3">
      <c r="A21" s="507" t="s">
        <v>142</v>
      </c>
      <c r="B21" s="507"/>
      <c r="C21" s="524">
        <v>480</v>
      </c>
      <c r="D21" s="524">
        <v>480</v>
      </c>
      <c r="E21" s="524">
        <v>480</v>
      </c>
      <c r="F21" s="525">
        <f>40*12</f>
        <v>480</v>
      </c>
      <c r="G21" s="525">
        <f>40*12</f>
        <v>480</v>
      </c>
      <c r="H21" s="525">
        <f>40*12</f>
        <v>480</v>
      </c>
      <c r="I21" s="525">
        <f>45*12</f>
        <v>540</v>
      </c>
      <c r="J21" s="525">
        <f t="shared" ref="J21:O21" si="0">50*12</f>
        <v>600</v>
      </c>
      <c r="K21" s="525">
        <f t="shared" si="0"/>
        <v>600</v>
      </c>
      <c r="L21" s="525">
        <f t="shared" si="0"/>
        <v>600</v>
      </c>
      <c r="M21" s="525">
        <f t="shared" si="0"/>
        <v>600</v>
      </c>
      <c r="N21" s="525">
        <f t="shared" si="0"/>
        <v>600</v>
      </c>
      <c r="O21" s="525">
        <f t="shared" si="0"/>
        <v>600</v>
      </c>
      <c r="P21" s="662">
        <f>SUM(O21:O22)</f>
        <v>12300</v>
      </c>
    </row>
    <row r="22" spans="1:16" ht="20.100000000000001" customHeight="1" x14ac:dyDescent="0.3">
      <c r="A22" s="42" t="s">
        <v>631</v>
      </c>
      <c r="B22" s="42"/>
      <c r="C22" s="526">
        <v>9500</v>
      </c>
      <c r="D22" s="526">
        <v>9500</v>
      </c>
      <c r="E22" s="526">
        <v>10392</v>
      </c>
      <c r="F22" s="527">
        <f>866*12</f>
        <v>10392</v>
      </c>
      <c r="G22" s="527">
        <f>866*12</f>
        <v>10392</v>
      </c>
      <c r="H22" s="527">
        <f>866*12</f>
        <v>10392</v>
      </c>
      <c r="I22" s="527">
        <f>886*12</f>
        <v>10632</v>
      </c>
      <c r="J22" s="527">
        <f>890*12</f>
        <v>10680</v>
      </c>
      <c r="K22" s="527">
        <f>425*26</f>
        <v>11050</v>
      </c>
      <c r="L22" s="527">
        <f>425*26</f>
        <v>11050</v>
      </c>
      <c r="M22" s="527">
        <f>425*26</f>
        <v>11050</v>
      </c>
      <c r="N22" s="527">
        <f>450*26</f>
        <v>11700</v>
      </c>
      <c r="O22" s="527">
        <f>450*26</f>
        <v>11700</v>
      </c>
      <c r="P22" s="664"/>
    </row>
    <row r="23" spans="1:16" ht="20.100000000000001" hidden="1" customHeight="1" x14ac:dyDescent="0.3">
      <c r="A23" s="42" t="s">
        <v>294</v>
      </c>
      <c r="B23" s="42"/>
      <c r="C23" s="526">
        <v>0</v>
      </c>
      <c r="D23" s="526">
        <v>0</v>
      </c>
      <c r="E23" s="526">
        <v>0</v>
      </c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3"/>
    </row>
    <row r="24" spans="1:16" ht="20.100000000000001" customHeight="1" x14ac:dyDescent="0.3">
      <c r="A24" s="507" t="s">
        <v>267</v>
      </c>
      <c r="B24" s="507"/>
      <c r="C24" s="516">
        <v>2000</v>
      </c>
      <c r="D24" s="516">
        <v>2000</v>
      </c>
      <c r="E24" s="516">
        <v>2000</v>
      </c>
      <c r="F24" s="517">
        <v>2000</v>
      </c>
      <c r="G24" s="517">
        <v>2000</v>
      </c>
      <c r="H24" s="517">
        <v>2000</v>
      </c>
      <c r="I24" s="517">
        <v>2000</v>
      </c>
      <c r="J24" s="517">
        <v>2000</v>
      </c>
      <c r="K24" s="517">
        <v>2000</v>
      </c>
      <c r="L24" s="517">
        <v>2000</v>
      </c>
      <c r="M24" s="517">
        <v>2000</v>
      </c>
      <c r="N24" s="517">
        <v>2000</v>
      </c>
      <c r="O24" s="517">
        <v>2000</v>
      </c>
      <c r="P24" s="416"/>
    </row>
    <row r="25" spans="1:16" ht="20.100000000000001" customHeight="1" x14ac:dyDescent="0.3">
      <c r="A25" s="528" t="s">
        <v>281</v>
      </c>
      <c r="B25" s="528"/>
      <c r="C25" s="77">
        <v>177485.82</v>
      </c>
      <c r="D25" s="77">
        <v>189168.64000000001</v>
      </c>
      <c r="E25" s="77">
        <v>201448.4</v>
      </c>
      <c r="F25" s="464">
        <v>206173.94</v>
      </c>
      <c r="G25" s="464">
        <v>214551</v>
      </c>
      <c r="H25" s="464">
        <v>333828</v>
      </c>
      <c r="I25" s="464">
        <v>367604</v>
      </c>
      <c r="J25" s="464">
        <v>387564</v>
      </c>
      <c r="K25" s="464">
        <v>411718</v>
      </c>
      <c r="L25" s="464">
        <v>464803</v>
      </c>
      <c r="M25" s="464">
        <v>523466</v>
      </c>
      <c r="N25" s="464">
        <v>545908</v>
      </c>
      <c r="O25" s="464">
        <v>781611</v>
      </c>
      <c r="P25" s="416"/>
    </row>
    <row r="26" spans="1:16" ht="20.100000000000001" customHeight="1" x14ac:dyDescent="0.3">
      <c r="A26" s="529"/>
      <c r="B26" s="529"/>
      <c r="C26" s="516"/>
      <c r="D26" s="516"/>
      <c r="E26" s="516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416"/>
    </row>
    <row r="27" spans="1:16" ht="20.100000000000001" customHeight="1" x14ac:dyDescent="0.3">
      <c r="A27" s="530"/>
      <c r="B27" s="530"/>
      <c r="C27" s="305"/>
      <c r="D27" s="305"/>
      <c r="E27" s="305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416"/>
    </row>
    <row r="28" spans="1:16" ht="20.100000000000001" customHeight="1" x14ac:dyDescent="0.3">
      <c r="A28" s="531" t="s">
        <v>139</v>
      </c>
      <c r="B28" s="531"/>
      <c r="C28" s="285">
        <f>SUM(C4:C27)</f>
        <v>633785.40806417656</v>
      </c>
      <c r="D28" s="285">
        <f>SUM(D4:D27)</f>
        <v>705924.04</v>
      </c>
      <c r="E28" s="285">
        <f>SUM(E4:E27)</f>
        <v>779487.35000000021</v>
      </c>
      <c r="F28" s="456" t="e">
        <f>SUM(F4:F27)-0.01</f>
        <v>#REF!</v>
      </c>
      <c r="G28" s="456">
        <f t="shared" ref="G28:L28" si="1">SUM(G4:G27)</f>
        <v>893886</v>
      </c>
      <c r="H28" s="456">
        <f t="shared" si="1"/>
        <v>1035982</v>
      </c>
      <c r="I28" s="456">
        <f t="shared" si="1"/>
        <v>1097987</v>
      </c>
      <c r="J28" s="456">
        <f t="shared" si="1"/>
        <v>1200821</v>
      </c>
      <c r="K28" s="456">
        <f t="shared" si="1"/>
        <v>1238721.9279999998</v>
      </c>
      <c r="L28" s="456">
        <f t="shared" si="1"/>
        <v>1374353</v>
      </c>
      <c r="M28" s="456">
        <f>SUM(M4:M27)</f>
        <v>1549640</v>
      </c>
      <c r="N28" s="456">
        <f>SUM(N4:N27)</f>
        <v>1605394.2959999999</v>
      </c>
      <c r="O28" s="456">
        <f>SUM(O4:O27)-1</f>
        <v>1895462.672</v>
      </c>
      <c r="P28" s="416"/>
    </row>
    <row r="29" spans="1:16" ht="11.25" customHeight="1" x14ac:dyDescent="0.2"/>
    <row r="30" spans="1:16" x14ac:dyDescent="0.2">
      <c r="E30" s="243"/>
      <c r="F30" s="243"/>
      <c r="G30" s="243"/>
      <c r="H30" s="243"/>
    </row>
    <row r="31" spans="1:16" ht="15.75" customHeight="1" x14ac:dyDescent="0.2"/>
  </sheetData>
  <mergeCells count="16">
    <mergeCell ref="I6:I7"/>
    <mergeCell ref="J6:J7"/>
    <mergeCell ref="K6:K7"/>
    <mergeCell ref="L6:L7"/>
    <mergeCell ref="D6:D7"/>
    <mergeCell ref="E6:E7"/>
    <mergeCell ref="H6:H7"/>
    <mergeCell ref="F6:F7"/>
    <mergeCell ref="G6:G7"/>
    <mergeCell ref="P6:P8"/>
    <mergeCell ref="P10:P12"/>
    <mergeCell ref="P13:P17"/>
    <mergeCell ref="P21:P22"/>
    <mergeCell ref="M6:M7"/>
    <mergeCell ref="N6:N7"/>
    <mergeCell ref="O6:O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15" customWidth="1"/>
    <col min="2" max="2" width="10.85546875" style="15" customWidth="1"/>
    <col min="3" max="3" width="9.28515625" style="15" customWidth="1"/>
    <col min="4" max="4" width="9.5703125" style="15" customWidth="1"/>
    <col min="5" max="5" width="11" style="15" customWidth="1"/>
    <col min="6" max="6" width="9.42578125" style="15" customWidth="1"/>
    <col min="7" max="7" width="10.28515625" style="15" customWidth="1"/>
    <col min="8" max="8" width="10.5703125" style="15" customWidth="1"/>
    <col min="9" max="9" width="11.140625" style="15" customWidth="1"/>
    <col min="10" max="10" width="11.28515625" style="15" bestFit="1" customWidth="1"/>
    <col min="11" max="11" width="9.140625" style="15"/>
    <col min="12" max="12" width="10.7109375" style="15" bestFit="1" customWidth="1"/>
    <col min="13" max="13" width="11.28515625" style="15" bestFit="1" customWidth="1"/>
    <col min="14" max="16384" width="9.140625" style="15"/>
  </cols>
  <sheetData>
    <row r="1" spans="1:12" s="192" customFormat="1" ht="21" customHeight="1" x14ac:dyDescent="0.2">
      <c r="A1" s="248"/>
      <c r="B1" s="249" t="s">
        <v>202</v>
      </c>
      <c r="C1" s="249" t="s">
        <v>199</v>
      </c>
      <c r="D1" s="249" t="s">
        <v>295</v>
      </c>
      <c r="E1" s="249" t="s">
        <v>203</v>
      </c>
      <c r="F1" s="249" t="s">
        <v>204</v>
      </c>
      <c r="G1" s="249" t="s">
        <v>201</v>
      </c>
      <c r="H1" s="249" t="s">
        <v>314</v>
      </c>
      <c r="I1" s="101" t="s">
        <v>110</v>
      </c>
      <c r="J1" s="672" t="s">
        <v>340</v>
      </c>
    </row>
    <row r="2" spans="1:12" s="192" customFormat="1" ht="21" customHeight="1" x14ac:dyDescent="0.2">
      <c r="A2" s="250" t="s">
        <v>205</v>
      </c>
      <c r="B2" s="251">
        <v>61865</v>
      </c>
      <c r="C2" s="251">
        <f t="shared" ref="C2:C9" si="0">B2*0.0765</f>
        <v>4732.6724999999997</v>
      </c>
      <c r="D2" s="251">
        <v>119.9</v>
      </c>
      <c r="E2" s="252">
        <f>B2/100*3.33*1.36*0.85</f>
        <v>2381.480802</v>
      </c>
      <c r="F2" s="251">
        <v>1455.67</v>
      </c>
      <c r="G2" s="251">
        <v>8960.0400000000009</v>
      </c>
      <c r="H2" s="251">
        <f>B2*0.095</f>
        <v>5877.1750000000002</v>
      </c>
      <c r="I2" s="104">
        <f>SUM(B2:H2)</f>
        <v>85391.93830200001</v>
      </c>
      <c r="J2" s="672"/>
    </row>
    <row r="3" spans="1:12" ht="18" customHeight="1" x14ac:dyDescent="0.2">
      <c r="A3" s="253" t="s">
        <v>205</v>
      </c>
      <c r="B3" s="252">
        <v>61268</v>
      </c>
      <c r="C3" s="252">
        <f t="shared" si="0"/>
        <v>4687.0019999999995</v>
      </c>
      <c r="D3" s="252">
        <v>119.9</v>
      </c>
      <c r="E3" s="252">
        <f t="shared" ref="E3:E20" si="1">B3/100*3.33*1.36*0.85</f>
        <v>2358.4994063999998</v>
      </c>
      <c r="F3" s="252">
        <v>1455.67</v>
      </c>
      <c r="G3" s="252">
        <v>8960.0400000000009</v>
      </c>
      <c r="H3" s="252">
        <f t="shared" ref="H3:H25" si="2">B3*0.095</f>
        <v>5820.46</v>
      </c>
      <c r="I3" s="102">
        <f t="shared" ref="I3:I8" si="3">SUM(B3:H3)</f>
        <v>84669.571406399991</v>
      </c>
      <c r="J3" s="672"/>
    </row>
    <row r="4" spans="1:12" ht="18" customHeight="1" x14ac:dyDescent="0.2">
      <c r="A4" s="261" t="s">
        <v>205</v>
      </c>
      <c r="B4" s="262">
        <v>61269</v>
      </c>
      <c r="C4" s="262">
        <f t="shared" si="0"/>
        <v>4687.0784999999996</v>
      </c>
      <c r="D4" s="262">
        <v>119.9</v>
      </c>
      <c r="E4" s="262">
        <f t="shared" si="1"/>
        <v>2358.5379012000003</v>
      </c>
      <c r="F4" s="262">
        <v>1455.67</v>
      </c>
      <c r="G4" s="262">
        <v>8960.0400000000009</v>
      </c>
      <c r="H4" s="262">
        <f t="shared" si="2"/>
        <v>5820.5550000000003</v>
      </c>
      <c r="I4" s="246">
        <f>SUM(B4:H4)</f>
        <v>84670.781401199987</v>
      </c>
      <c r="J4" s="672"/>
    </row>
    <row r="5" spans="1:12" ht="18" customHeight="1" x14ac:dyDescent="0.2">
      <c r="A5" s="266" t="s">
        <v>206</v>
      </c>
      <c r="B5" s="251">
        <v>52203</v>
      </c>
      <c r="C5" s="251">
        <f t="shared" si="0"/>
        <v>3993.5295000000001</v>
      </c>
      <c r="D5" s="251">
        <v>119.9</v>
      </c>
      <c r="E5" s="251">
        <f>B5/100*3.33*1.36*0.85</f>
        <v>2009.5440444000001</v>
      </c>
      <c r="F5" s="251">
        <v>1455.67</v>
      </c>
      <c r="G5" s="251">
        <v>4777.76</v>
      </c>
      <c r="H5" s="251">
        <f>B5*0.095</f>
        <v>4959.2849999999999</v>
      </c>
      <c r="I5" s="279">
        <f>SUM(B5:H5)</f>
        <v>69518.688544399993</v>
      </c>
      <c r="J5" s="672"/>
    </row>
    <row r="6" spans="1:12" ht="18" customHeight="1" x14ac:dyDescent="0.2">
      <c r="A6" s="258" t="s">
        <v>206</v>
      </c>
      <c r="B6" s="252">
        <v>52504.3</v>
      </c>
      <c r="C6" s="252">
        <f t="shared" si="0"/>
        <v>4016.5789500000001</v>
      </c>
      <c r="D6" s="252">
        <v>119.9</v>
      </c>
      <c r="E6" s="252">
        <f t="shared" si="1"/>
        <v>2021.1425276400003</v>
      </c>
      <c r="F6" s="252">
        <v>1455.67</v>
      </c>
      <c r="G6" s="252">
        <v>8960.0400000000009</v>
      </c>
      <c r="H6" s="252">
        <f t="shared" si="2"/>
        <v>4987.9085000000005</v>
      </c>
      <c r="I6" s="102">
        <f t="shared" si="3"/>
        <v>74065.539977640015</v>
      </c>
      <c r="J6" s="672"/>
    </row>
    <row r="7" spans="1:12" ht="18" customHeight="1" x14ac:dyDescent="0.2">
      <c r="A7" s="267" t="s">
        <v>206</v>
      </c>
      <c r="B7" s="255">
        <v>51304.3</v>
      </c>
      <c r="C7" s="255">
        <f t="shared" si="0"/>
        <v>3924.7789500000003</v>
      </c>
      <c r="D7" s="255">
        <v>119.9</v>
      </c>
      <c r="E7" s="255">
        <f>B7/100*3.33*1.36*0.85</f>
        <v>1974.9487676400001</v>
      </c>
      <c r="F7" s="255">
        <v>1455.67</v>
      </c>
      <c r="G7" s="255">
        <v>4777.76</v>
      </c>
      <c r="H7" s="255">
        <f>B7*0.095</f>
        <v>4873.9085000000005</v>
      </c>
      <c r="I7" s="277">
        <f>SUM(B7:H7)</f>
        <v>68431.266217640004</v>
      </c>
      <c r="J7" s="672"/>
      <c r="L7" s="191"/>
    </row>
    <row r="8" spans="1:12" ht="18" customHeight="1" x14ac:dyDescent="0.2">
      <c r="A8" s="275" t="s">
        <v>318</v>
      </c>
      <c r="B8" s="272">
        <v>55456.37</v>
      </c>
      <c r="C8" s="272">
        <f t="shared" si="0"/>
        <v>4242.4123049999998</v>
      </c>
      <c r="D8" s="272">
        <v>119.9</v>
      </c>
      <c r="E8" s="274">
        <f t="shared" si="1"/>
        <v>2134.7818718760004</v>
      </c>
      <c r="F8" s="269">
        <v>1455.67</v>
      </c>
      <c r="G8" s="272">
        <v>4777.76</v>
      </c>
      <c r="H8" s="269">
        <f t="shared" si="2"/>
        <v>5268.3551500000003</v>
      </c>
      <c r="I8" s="278">
        <f t="shared" si="3"/>
        <v>73455.249326876001</v>
      </c>
      <c r="J8" s="672"/>
    </row>
    <row r="9" spans="1:12" ht="18" customHeight="1" x14ac:dyDescent="0.2">
      <c r="A9" s="266" t="s">
        <v>207</v>
      </c>
      <c r="B9" s="251">
        <v>48731.7</v>
      </c>
      <c r="C9" s="251">
        <f t="shared" si="0"/>
        <v>3727.9750499999996</v>
      </c>
      <c r="D9" s="251">
        <v>119.9</v>
      </c>
      <c r="E9" s="251">
        <f>B9/100*3.33*1.36*0.85</f>
        <v>1875.91704516</v>
      </c>
      <c r="F9" s="251">
        <v>1455.67</v>
      </c>
      <c r="G9" s="251">
        <v>4776.76</v>
      </c>
      <c r="H9" s="251">
        <f>B9*0.095</f>
        <v>4629.5114999999996</v>
      </c>
      <c r="I9" s="279">
        <f t="shared" ref="I9:I27" si="4">SUM(B9:H9)</f>
        <v>65317.433595160001</v>
      </c>
      <c r="J9" s="672"/>
    </row>
    <row r="10" spans="1:12" ht="18" customHeight="1" x14ac:dyDescent="0.2">
      <c r="A10" s="258" t="s">
        <v>207</v>
      </c>
      <c r="B10" s="252">
        <v>49693.7</v>
      </c>
      <c r="C10" s="252">
        <f t="shared" ref="C10:C17" si="5">B10*0.0765</f>
        <v>3801.5680499999999</v>
      </c>
      <c r="D10" s="252">
        <v>119.9</v>
      </c>
      <c r="E10" s="252">
        <f t="shared" si="1"/>
        <v>1912.9490427599999</v>
      </c>
      <c r="F10" s="252">
        <v>1455.67</v>
      </c>
      <c r="G10" s="252">
        <v>4777.76</v>
      </c>
      <c r="H10" s="252">
        <f t="shared" si="2"/>
        <v>4720.9014999999999</v>
      </c>
      <c r="I10" s="280">
        <f t="shared" si="4"/>
        <v>66482.448592760004</v>
      </c>
      <c r="J10" s="672"/>
    </row>
    <row r="11" spans="1:12" ht="18" customHeight="1" x14ac:dyDescent="0.2">
      <c r="A11" s="258" t="s">
        <v>207</v>
      </c>
      <c r="B11" s="252">
        <v>49093.7</v>
      </c>
      <c r="C11" s="252">
        <f>B11*0.0765</f>
        <v>3755.6680499999998</v>
      </c>
      <c r="D11" s="252">
        <v>119.9</v>
      </c>
      <c r="E11" s="252">
        <f>B11/100*3.33*1.36*0.85</f>
        <v>1889.8521627600001</v>
      </c>
      <c r="F11" s="252">
        <v>1455.67</v>
      </c>
      <c r="G11" s="252">
        <v>8960.0400000000009</v>
      </c>
      <c r="H11" s="252">
        <f>B11*0.095</f>
        <v>4663.9014999999999</v>
      </c>
      <c r="I11" s="102">
        <f t="shared" si="4"/>
        <v>69938.731712759996</v>
      </c>
      <c r="J11" s="672"/>
    </row>
    <row r="12" spans="1:12" ht="18" customHeight="1" x14ac:dyDescent="0.2">
      <c r="A12" s="258" t="s">
        <v>207</v>
      </c>
      <c r="B12" s="252">
        <v>48135.7</v>
      </c>
      <c r="C12" s="252">
        <f t="shared" si="5"/>
        <v>3682.3810499999995</v>
      </c>
      <c r="D12" s="252">
        <v>119.9</v>
      </c>
      <c r="E12" s="252">
        <f t="shared" si="1"/>
        <v>1852.9741443599999</v>
      </c>
      <c r="F12" s="252">
        <v>1455.67</v>
      </c>
      <c r="G12" s="252">
        <v>4777.76</v>
      </c>
      <c r="H12" s="252">
        <f t="shared" si="2"/>
        <v>4572.8914999999997</v>
      </c>
      <c r="I12" s="280">
        <f t="shared" si="4"/>
        <v>64597.276694359993</v>
      </c>
      <c r="J12" s="672"/>
    </row>
    <row r="13" spans="1:12" ht="18" customHeight="1" x14ac:dyDescent="0.2">
      <c r="A13" s="258" t="s">
        <v>207</v>
      </c>
      <c r="B13" s="252">
        <v>46636.7</v>
      </c>
      <c r="C13" s="252">
        <f>B13*0.0765</f>
        <v>3567.7075499999996</v>
      </c>
      <c r="D13" s="252">
        <v>119.9</v>
      </c>
      <c r="E13" s="252">
        <f>B13/100*3.33*1.36*0.85</f>
        <v>1795.2704391599998</v>
      </c>
      <c r="F13" s="252">
        <v>1455.67</v>
      </c>
      <c r="G13" s="252">
        <v>7301.36</v>
      </c>
      <c r="H13" s="252">
        <f>B13*0.095</f>
        <v>4430.4865</v>
      </c>
      <c r="I13" s="280">
        <f t="shared" si="4"/>
        <v>65307.094489159994</v>
      </c>
      <c r="J13" s="672"/>
    </row>
    <row r="14" spans="1:12" ht="18" customHeight="1" x14ac:dyDescent="0.2">
      <c r="A14" s="267" t="s">
        <v>207</v>
      </c>
      <c r="B14" s="255">
        <v>49636.7</v>
      </c>
      <c r="C14" s="255">
        <f>B14*0.0765</f>
        <v>3797.2075499999996</v>
      </c>
      <c r="D14" s="255">
        <v>119.9</v>
      </c>
      <c r="E14" s="255">
        <f>B14/100*3.33*1.36*0.85</f>
        <v>1910.7548391600003</v>
      </c>
      <c r="F14" s="255">
        <v>1455.67</v>
      </c>
      <c r="G14" s="255">
        <v>4777.76</v>
      </c>
      <c r="H14" s="255">
        <f>B14*0.095</f>
        <v>4715.4865</v>
      </c>
      <c r="I14" s="277">
        <f t="shared" si="4"/>
        <v>66413.478889160004</v>
      </c>
      <c r="J14" s="672"/>
    </row>
    <row r="15" spans="1:12" ht="18" customHeight="1" x14ac:dyDescent="0.2">
      <c r="A15" s="266" t="s">
        <v>208</v>
      </c>
      <c r="B15" s="251">
        <v>42269.3</v>
      </c>
      <c r="C15" s="251">
        <f>B15*0.0765</f>
        <v>3233.6014500000001</v>
      </c>
      <c r="D15" s="251">
        <v>119.9</v>
      </c>
      <c r="E15" s="251">
        <f>B15/100*3.33*1.36*0.85</f>
        <v>1627.1482496400001</v>
      </c>
      <c r="F15" s="251">
        <v>1455.67</v>
      </c>
      <c r="G15" s="251">
        <v>8960.0400000000009</v>
      </c>
      <c r="H15" s="251">
        <f>B15*0.095</f>
        <v>4015.5835000000002</v>
      </c>
      <c r="I15" s="279">
        <f t="shared" si="4"/>
        <v>61681.243199640005</v>
      </c>
      <c r="J15" s="672"/>
    </row>
    <row r="16" spans="1:12" ht="18" customHeight="1" x14ac:dyDescent="0.2">
      <c r="A16" s="253" t="s">
        <v>208</v>
      </c>
      <c r="B16" s="252">
        <v>42631.3</v>
      </c>
      <c r="C16" s="252">
        <f t="shared" si="5"/>
        <v>3261.2944500000003</v>
      </c>
      <c r="D16" s="252">
        <v>119.9</v>
      </c>
      <c r="E16" s="252">
        <f t="shared" si="1"/>
        <v>1641.0833672400004</v>
      </c>
      <c r="F16" s="252">
        <v>1455.67</v>
      </c>
      <c r="G16" s="252">
        <v>4777.76</v>
      </c>
      <c r="H16" s="252">
        <f t="shared" si="2"/>
        <v>4049.9735000000005</v>
      </c>
      <c r="I16" s="102">
        <f t="shared" si="4"/>
        <v>57936.981317240003</v>
      </c>
      <c r="J16" s="672"/>
    </row>
    <row r="17" spans="1:13" ht="18" customHeight="1" x14ac:dyDescent="0.2">
      <c r="A17" s="253" t="s">
        <v>208</v>
      </c>
      <c r="B17" s="252">
        <v>43831.3</v>
      </c>
      <c r="C17" s="252">
        <f t="shared" si="5"/>
        <v>3353.0944500000001</v>
      </c>
      <c r="D17" s="252">
        <v>119.9</v>
      </c>
      <c r="E17" s="252">
        <f t="shared" si="1"/>
        <v>1687.2771272400003</v>
      </c>
      <c r="F17" s="252">
        <v>1455.67</v>
      </c>
      <c r="G17" s="252">
        <v>8960.0400000000009</v>
      </c>
      <c r="H17" s="252">
        <f t="shared" si="2"/>
        <v>4163.9735000000001</v>
      </c>
      <c r="I17" s="102">
        <f t="shared" si="4"/>
        <v>63571.255077239999</v>
      </c>
      <c r="J17" s="672"/>
    </row>
    <row r="18" spans="1:13" ht="18" customHeight="1" x14ac:dyDescent="0.2">
      <c r="A18" s="253" t="s">
        <v>208</v>
      </c>
      <c r="B18" s="252">
        <v>42631.3</v>
      </c>
      <c r="C18" s="252">
        <f t="shared" ref="C18:C26" si="6">B18*0.0765</f>
        <v>3261.2944500000003</v>
      </c>
      <c r="D18" s="252">
        <v>119.9</v>
      </c>
      <c r="E18" s="252">
        <f t="shared" si="1"/>
        <v>1641.0833672400004</v>
      </c>
      <c r="F18" s="252">
        <v>1455.67</v>
      </c>
      <c r="G18" s="252">
        <v>6983.72</v>
      </c>
      <c r="H18" s="252">
        <f t="shared" si="2"/>
        <v>4049.9735000000005</v>
      </c>
      <c r="I18" s="102">
        <f t="shared" si="4"/>
        <v>60142.941317240002</v>
      </c>
      <c r="J18" s="672"/>
    </row>
    <row r="19" spans="1:13" ht="18" customHeight="1" x14ac:dyDescent="0.2">
      <c r="A19" s="253" t="s">
        <v>208</v>
      </c>
      <c r="B19" s="252">
        <v>42631.3</v>
      </c>
      <c r="C19" s="252">
        <f t="shared" si="6"/>
        <v>3261.2944500000003</v>
      </c>
      <c r="D19" s="252">
        <v>119.9</v>
      </c>
      <c r="E19" s="252">
        <f t="shared" si="1"/>
        <v>1641.0833672400004</v>
      </c>
      <c r="F19" s="252">
        <v>1455.67</v>
      </c>
      <c r="G19" s="252">
        <v>8960.0400000000009</v>
      </c>
      <c r="H19" s="252">
        <f t="shared" si="2"/>
        <v>4049.9735000000005</v>
      </c>
      <c r="I19" s="102">
        <f t="shared" si="4"/>
        <v>62119.261317240002</v>
      </c>
      <c r="J19" s="672"/>
    </row>
    <row r="20" spans="1:13" ht="18" customHeight="1" x14ac:dyDescent="0.2">
      <c r="A20" s="253" t="s">
        <v>208</v>
      </c>
      <c r="B20" s="252">
        <v>41671.300000000003</v>
      </c>
      <c r="C20" s="252">
        <f t="shared" si="6"/>
        <v>3187.8544500000003</v>
      </c>
      <c r="D20" s="252">
        <v>119.9</v>
      </c>
      <c r="E20" s="252">
        <f t="shared" si="1"/>
        <v>1604.1283592400002</v>
      </c>
      <c r="F20" s="252">
        <v>1455.67</v>
      </c>
      <c r="G20" s="252">
        <v>4777.76</v>
      </c>
      <c r="H20" s="252">
        <f t="shared" si="2"/>
        <v>3958.7735000000002</v>
      </c>
      <c r="I20" s="102">
        <f t="shared" si="4"/>
        <v>56775.386309240006</v>
      </c>
      <c r="J20" s="672"/>
    </row>
    <row r="21" spans="1:13" ht="18" customHeight="1" x14ac:dyDescent="0.2">
      <c r="A21" s="253" t="s">
        <v>319</v>
      </c>
      <c r="B21" s="252">
        <v>250096.8</v>
      </c>
      <c r="C21" s="252">
        <f t="shared" si="6"/>
        <v>19132.405199999997</v>
      </c>
      <c r="D21" s="252">
        <v>720</v>
      </c>
      <c r="E21" s="252">
        <f t="shared" ref="E21:E26" si="7">B21/100*3.33*1.36*0.85</f>
        <v>9627.4262966400001</v>
      </c>
      <c r="F21" s="252">
        <v>8734.02</v>
      </c>
      <c r="G21" s="252">
        <v>31503.8</v>
      </c>
      <c r="H21" s="252">
        <f t="shared" si="2"/>
        <v>23759.196</v>
      </c>
      <c r="I21" s="102">
        <f t="shared" si="4"/>
        <v>343573.64749663998</v>
      </c>
      <c r="J21" s="672"/>
    </row>
    <row r="22" spans="1:13" ht="18" customHeight="1" x14ac:dyDescent="0.2">
      <c r="A22" s="253" t="s">
        <v>320</v>
      </c>
      <c r="B22" s="252">
        <v>80054.179999999993</v>
      </c>
      <c r="C22" s="252">
        <f t="shared" si="6"/>
        <v>6124.144769999999</v>
      </c>
      <c r="D22" s="252">
        <v>240</v>
      </c>
      <c r="E22" s="252">
        <f t="shared" si="7"/>
        <v>3081.669648264</v>
      </c>
      <c r="F22" s="252">
        <v>2911.3420000000001</v>
      </c>
      <c r="G22" s="252">
        <v>9555.52</v>
      </c>
      <c r="H22" s="252">
        <f t="shared" si="2"/>
        <v>7605.1470999999992</v>
      </c>
      <c r="I22" s="102">
        <f t="shared" si="4"/>
        <v>109572.003518264</v>
      </c>
      <c r="J22" s="672"/>
    </row>
    <row r="23" spans="1:13" ht="18" customHeight="1" x14ac:dyDescent="0.2">
      <c r="A23" s="261" t="s">
        <v>308</v>
      </c>
      <c r="B23" s="262">
        <v>39372.449999999997</v>
      </c>
      <c r="C23" s="262">
        <f t="shared" si="6"/>
        <v>3011.9924249999999</v>
      </c>
      <c r="D23" s="262">
        <v>120</v>
      </c>
      <c r="E23" s="262">
        <f t="shared" si="7"/>
        <v>1515.6345882599999</v>
      </c>
      <c r="F23" s="252">
        <v>1455.67</v>
      </c>
      <c r="G23" s="262">
        <v>4777.76</v>
      </c>
      <c r="H23" s="252">
        <f t="shared" si="2"/>
        <v>3740.3827499999998</v>
      </c>
      <c r="I23" s="246">
        <f t="shared" si="4"/>
        <v>53993.889763259991</v>
      </c>
      <c r="J23" s="672"/>
      <c r="L23" s="247"/>
    </row>
    <row r="24" spans="1:13" ht="17.25" customHeight="1" x14ac:dyDescent="0.2">
      <c r="A24" s="256" t="s">
        <v>51</v>
      </c>
      <c r="B24" s="251">
        <v>65220</v>
      </c>
      <c r="C24" s="251">
        <f t="shared" si="6"/>
        <v>4989.33</v>
      </c>
      <c r="D24" s="257"/>
      <c r="E24" s="251">
        <f t="shared" si="7"/>
        <v>2510.6308560000002</v>
      </c>
      <c r="F24" s="257"/>
      <c r="G24" s="257"/>
      <c r="H24" s="251">
        <f t="shared" si="2"/>
        <v>6195.9</v>
      </c>
      <c r="I24" s="104">
        <f t="shared" si="4"/>
        <v>78915.860855999999</v>
      </c>
      <c r="J24" s="672"/>
    </row>
    <row r="25" spans="1:13" ht="18" customHeight="1" x14ac:dyDescent="0.2">
      <c r="A25" s="258" t="s">
        <v>130</v>
      </c>
      <c r="B25" s="252">
        <v>11869</v>
      </c>
      <c r="C25" s="252">
        <f t="shared" si="6"/>
        <v>907.97849999999994</v>
      </c>
      <c r="D25" s="259"/>
      <c r="E25" s="252">
        <f t="shared" si="7"/>
        <v>456.89478120000001</v>
      </c>
      <c r="F25" s="259"/>
      <c r="G25" s="259"/>
      <c r="H25" s="252">
        <f t="shared" si="2"/>
        <v>1127.5550000000001</v>
      </c>
      <c r="I25" s="102">
        <f t="shared" si="4"/>
        <v>14361.4282812</v>
      </c>
      <c r="J25" s="672"/>
      <c r="L25" s="247"/>
    </row>
    <row r="26" spans="1:13" ht="18" customHeight="1" x14ac:dyDescent="0.2">
      <c r="A26" s="258" t="s">
        <v>315</v>
      </c>
      <c r="B26" s="252">
        <v>16124</v>
      </c>
      <c r="C26" s="252">
        <f t="shared" si="6"/>
        <v>1233.4859999999999</v>
      </c>
      <c r="D26" s="252">
        <v>492</v>
      </c>
      <c r="E26" s="252">
        <f t="shared" si="7"/>
        <v>620.69015520000005</v>
      </c>
      <c r="F26" s="252">
        <v>650.21119999999996</v>
      </c>
      <c r="G26" s="259"/>
      <c r="H26" s="259"/>
      <c r="I26" s="102">
        <f t="shared" si="4"/>
        <v>19120.387355200004</v>
      </c>
      <c r="J26" s="672"/>
      <c r="M26" s="247"/>
    </row>
    <row r="27" spans="1:13" ht="18" customHeight="1" x14ac:dyDescent="0.2">
      <c r="A27" s="268" t="s">
        <v>313</v>
      </c>
      <c r="B27" s="270"/>
      <c r="C27" s="270"/>
      <c r="D27" s="270"/>
      <c r="E27" s="269">
        <v>965.41</v>
      </c>
      <c r="F27" s="269">
        <v>405.59</v>
      </c>
      <c r="G27" s="270"/>
      <c r="H27" s="276"/>
      <c r="I27" s="102">
        <f t="shared" si="4"/>
        <v>1371</v>
      </c>
      <c r="J27" s="672"/>
      <c r="M27" s="247"/>
    </row>
    <row r="28" spans="1:13" ht="18" customHeight="1" x14ac:dyDescent="0.2">
      <c r="A28" s="250" t="s">
        <v>209</v>
      </c>
      <c r="B28" s="251">
        <v>86707.199999999997</v>
      </c>
      <c r="C28" s="251">
        <f t="shared" ref="C28:C35" si="8">B28*0.0765</f>
        <v>6633.1007999999993</v>
      </c>
      <c r="D28" s="251">
        <v>120</v>
      </c>
      <c r="E28" s="251">
        <f t="shared" ref="E28:E34" si="9">B28/100*0.44*1.36*0.85</f>
        <v>441.02750207999998</v>
      </c>
      <c r="F28" s="251">
        <v>1455.671</v>
      </c>
      <c r="G28" s="251">
        <v>8960.0400000000009</v>
      </c>
      <c r="H28" s="251">
        <f>B28*0.095</f>
        <v>8237.1839999999993</v>
      </c>
      <c r="I28" s="104">
        <f t="shared" ref="I28:I33" si="10">SUM(B28:H28)</f>
        <v>112554.22330207999</v>
      </c>
      <c r="J28" s="672"/>
    </row>
    <row r="29" spans="1:13" ht="18" customHeight="1" x14ac:dyDescent="0.2">
      <c r="A29" s="253" t="s">
        <v>273</v>
      </c>
      <c r="B29" s="252">
        <v>69769.600000000006</v>
      </c>
      <c r="C29" s="252">
        <f t="shared" si="8"/>
        <v>5337.3744000000006</v>
      </c>
      <c r="D29" s="252">
        <v>120</v>
      </c>
      <c r="E29" s="252">
        <f t="shared" si="9"/>
        <v>354.87609344000003</v>
      </c>
      <c r="F29" s="252">
        <v>1455.671</v>
      </c>
      <c r="G29" s="252">
        <v>8960.0400000000009</v>
      </c>
      <c r="H29" s="252">
        <f>B29*0.095</f>
        <v>6628.112000000001</v>
      </c>
      <c r="I29" s="102">
        <f>SUM(B29:H29)</f>
        <v>92625.673493440001</v>
      </c>
      <c r="J29" s="672"/>
      <c r="M29" s="247"/>
    </row>
    <row r="30" spans="1:13" ht="18" customHeight="1" x14ac:dyDescent="0.2">
      <c r="A30" s="253" t="s">
        <v>210</v>
      </c>
      <c r="B30" s="252">
        <v>49276</v>
      </c>
      <c r="C30" s="252">
        <f t="shared" si="8"/>
        <v>3769.614</v>
      </c>
      <c r="D30" s="252">
        <v>120</v>
      </c>
      <c r="E30" s="252">
        <f t="shared" si="9"/>
        <v>250.63744640000002</v>
      </c>
      <c r="F30" s="252">
        <v>1118.961</v>
      </c>
      <c r="G30" s="252">
        <v>4777.76</v>
      </c>
      <c r="H30" s="252">
        <f>B30*0.095</f>
        <v>4681.22</v>
      </c>
      <c r="I30" s="102">
        <f t="shared" si="10"/>
        <v>63994.192446400004</v>
      </c>
      <c r="J30" s="672"/>
    </row>
    <row r="31" spans="1:13" ht="18" customHeight="1" x14ac:dyDescent="0.2">
      <c r="A31" s="254" t="s">
        <v>200</v>
      </c>
      <c r="B31" s="255">
        <v>37107</v>
      </c>
      <c r="C31" s="255">
        <f t="shared" si="8"/>
        <v>2838.6855</v>
      </c>
      <c r="D31" s="255">
        <v>119.9</v>
      </c>
      <c r="E31" s="255">
        <f t="shared" si="9"/>
        <v>188.7410448</v>
      </c>
      <c r="F31" s="255">
        <v>1455.671</v>
      </c>
      <c r="G31" s="255">
        <v>4777.76</v>
      </c>
      <c r="H31" s="255">
        <f>B31*0.095</f>
        <v>3525.165</v>
      </c>
      <c r="I31" s="103">
        <f t="shared" si="10"/>
        <v>50012.922544800007</v>
      </c>
      <c r="J31" s="672"/>
    </row>
    <row r="32" spans="1:13" ht="18" customHeight="1" x14ac:dyDescent="0.2">
      <c r="A32" s="250" t="s">
        <v>311</v>
      </c>
      <c r="B32" s="251">
        <v>7721</v>
      </c>
      <c r="C32" s="251">
        <f t="shared" si="8"/>
        <v>590.65649999999994</v>
      </c>
      <c r="D32" s="251">
        <v>60</v>
      </c>
      <c r="E32" s="251">
        <f t="shared" si="9"/>
        <v>39.272094400000007</v>
      </c>
      <c r="F32" s="251">
        <v>650.21119999999996</v>
      </c>
      <c r="G32" s="257"/>
      <c r="H32" s="257"/>
      <c r="I32" s="104">
        <f>SUM(B32:H32)</f>
        <v>9061.1397943999982</v>
      </c>
      <c r="J32" s="672"/>
    </row>
    <row r="33" spans="1:12" ht="18" customHeight="1" x14ac:dyDescent="0.2">
      <c r="A33" s="253" t="s">
        <v>310</v>
      </c>
      <c r="B33" s="252">
        <v>3469</v>
      </c>
      <c r="C33" s="252">
        <f t="shared" si="8"/>
        <v>265.37849999999997</v>
      </c>
      <c r="D33" s="252">
        <v>50</v>
      </c>
      <c r="E33" s="252">
        <f t="shared" si="9"/>
        <v>17.6447216</v>
      </c>
      <c r="F33" s="252">
        <v>650.21119999999996</v>
      </c>
      <c r="G33" s="259"/>
      <c r="H33" s="259"/>
      <c r="I33" s="102">
        <f t="shared" si="10"/>
        <v>4452.2344216000001</v>
      </c>
      <c r="J33" s="672"/>
    </row>
    <row r="34" spans="1:12" ht="18" customHeight="1" x14ac:dyDescent="0.2">
      <c r="A34" s="253" t="s">
        <v>309</v>
      </c>
      <c r="B34" s="252">
        <v>17372</v>
      </c>
      <c r="C34" s="252">
        <f t="shared" si="8"/>
        <v>1328.9580000000001</v>
      </c>
      <c r="D34" s="252">
        <v>70</v>
      </c>
      <c r="E34" s="252">
        <f t="shared" si="9"/>
        <v>88.360940800000009</v>
      </c>
      <c r="F34" s="252">
        <v>650.21119999999996</v>
      </c>
      <c r="G34" s="259"/>
      <c r="H34" s="259"/>
      <c r="I34" s="102">
        <f>SUM(B34:H34)</f>
        <v>19509.530140800001</v>
      </c>
      <c r="J34" s="672"/>
    </row>
    <row r="35" spans="1:12" ht="15.75" customHeight="1" x14ac:dyDescent="0.25">
      <c r="A35" s="284" t="s">
        <v>316</v>
      </c>
      <c r="B35" s="251">
        <v>-3856.11</v>
      </c>
      <c r="C35" s="251">
        <f t="shared" si="8"/>
        <v>-294.99241499999999</v>
      </c>
      <c r="D35" s="251"/>
      <c r="E35" s="251">
        <v>-148.66</v>
      </c>
      <c r="F35" s="251"/>
      <c r="G35" s="271">
        <v>1233.76</v>
      </c>
      <c r="H35" s="251">
        <v>-366.36</v>
      </c>
      <c r="I35" s="104">
        <f>SUM(B35:H35)</f>
        <v>-3432.3624150000001</v>
      </c>
      <c r="J35" s="672"/>
      <c r="L35" s="247"/>
    </row>
    <row r="36" spans="1:12" ht="16.5" customHeight="1" x14ac:dyDescent="0.2">
      <c r="A36" s="283" t="s">
        <v>312</v>
      </c>
      <c r="B36" s="272"/>
      <c r="C36" s="272"/>
      <c r="D36" s="272"/>
      <c r="E36" s="272">
        <v>-8383</v>
      </c>
      <c r="F36" s="272"/>
      <c r="G36" s="273">
        <v>-14771.84</v>
      </c>
      <c r="H36" s="273"/>
      <c r="I36" s="103">
        <f>SUM(B36:H36)</f>
        <v>-23154.84</v>
      </c>
      <c r="J36" s="672"/>
    </row>
    <row r="37" spans="1:12" ht="18" customHeight="1" thickBot="1" x14ac:dyDescent="0.25">
      <c r="A37" s="260"/>
      <c r="B37" s="282">
        <f>SUM(B2:B36)</f>
        <v>1673766.0899999999</v>
      </c>
      <c r="C37" s="281">
        <f t="shared" ref="C37:H37" si="11">SUM(C2:C36)</f>
        <v>128043.105885</v>
      </c>
      <c r="D37" s="281">
        <f t="shared" si="11"/>
        <v>4510</v>
      </c>
      <c r="E37" s="282">
        <f t="shared" si="11"/>
        <v>47945.713001439981</v>
      </c>
      <c r="F37" s="281">
        <f t="shared" si="11"/>
        <v>49251.170799999978</v>
      </c>
      <c r="G37" s="281">
        <f t="shared" si="11"/>
        <v>188738.84000000005</v>
      </c>
      <c r="H37" s="282">
        <f t="shared" si="11"/>
        <v>154762.57900000003</v>
      </c>
      <c r="I37" s="281">
        <f>SUM(I2:I36)</f>
        <v>2247017.4986864403</v>
      </c>
      <c r="J37" s="672"/>
    </row>
    <row r="38" spans="1:12" ht="14.25" customHeight="1" thickTop="1" x14ac:dyDescent="0.2">
      <c r="A38" s="198" t="s">
        <v>321</v>
      </c>
      <c r="B38" s="198"/>
      <c r="C38" s="669">
        <f>SUM(C37:H37)</f>
        <v>573251.40868644009</v>
      </c>
      <c r="D38" s="670"/>
      <c r="E38" s="670"/>
      <c r="F38" s="670"/>
      <c r="G38" s="670"/>
      <c r="H38" s="671"/>
      <c r="I38" s="198"/>
      <c r="J38" s="672"/>
    </row>
    <row r="39" spans="1:12" ht="13.5" customHeight="1" x14ac:dyDescent="0.2">
      <c r="A39" s="13" t="s">
        <v>307</v>
      </c>
    </row>
  </sheetData>
  <mergeCells count="2">
    <mergeCell ref="C38:H38"/>
    <mergeCell ref="J1:J38"/>
  </mergeCells>
  <phoneticPr fontId="21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9"/>
  <sheetViews>
    <sheetView workbookViewId="0">
      <selection sqref="A1:A2"/>
    </sheetView>
  </sheetViews>
  <sheetFormatPr defaultRowHeight="12.75" x14ac:dyDescent="0.2"/>
  <cols>
    <col min="1" max="1" width="6.28515625" customWidth="1"/>
    <col min="2" max="3" width="11.28515625" hidden="1" customWidth="1"/>
    <col min="4" max="4" width="11.28515625" style="16" hidden="1" customWidth="1"/>
    <col min="5" max="5" width="14" hidden="1" customWidth="1"/>
    <col min="6" max="6" width="16.85546875" hidden="1" customWidth="1"/>
    <col min="7" max="9" width="16.85546875" bestFit="1" customWidth="1"/>
  </cols>
  <sheetData>
    <row r="1" spans="1:9" ht="20.100000000000001" customHeight="1" x14ac:dyDescent="0.2">
      <c r="A1" s="677"/>
      <c r="B1" s="638"/>
      <c r="C1" s="638"/>
      <c r="D1" s="638"/>
      <c r="F1" s="644"/>
      <c r="G1" s="673" t="s">
        <v>478</v>
      </c>
      <c r="H1" s="673"/>
      <c r="I1" s="674"/>
    </row>
    <row r="2" spans="1:9" ht="20.100000000000001" customHeight="1" x14ac:dyDescent="0.2">
      <c r="A2" s="678"/>
      <c r="B2" s="639"/>
      <c r="C2" s="639"/>
      <c r="D2" s="639"/>
      <c r="E2" s="640"/>
      <c r="F2" s="645"/>
      <c r="G2" s="675"/>
      <c r="H2" s="675"/>
      <c r="I2" s="676"/>
    </row>
    <row r="3" spans="1:9" ht="20.100000000000001" customHeight="1" x14ac:dyDescent="0.2">
      <c r="A3" s="681" t="s">
        <v>131</v>
      </c>
      <c r="B3" s="389" t="s">
        <v>490</v>
      </c>
      <c r="C3" s="389" t="s">
        <v>521</v>
      </c>
      <c r="D3" s="356" t="s">
        <v>560</v>
      </c>
      <c r="E3" s="356" t="s">
        <v>622</v>
      </c>
      <c r="F3" s="356" t="s">
        <v>731</v>
      </c>
      <c r="G3" s="356" t="s">
        <v>744</v>
      </c>
      <c r="H3" s="356" t="s">
        <v>745</v>
      </c>
      <c r="I3" s="356" t="s">
        <v>746</v>
      </c>
    </row>
    <row r="4" spans="1:9" ht="20.100000000000001" customHeight="1" x14ac:dyDescent="0.2">
      <c r="A4" s="680"/>
      <c r="B4" s="358">
        <v>16.64</v>
      </c>
      <c r="C4" s="358">
        <v>17.12</v>
      </c>
      <c r="D4" s="358">
        <v>17.43</v>
      </c>
      <c r="E4" s="358">
        <v>19.5</v>
      </c>
      <c r="F4" s="358">
        <v>21.49</v>
      </c>
      <c r="G4" s="358">
        <v>22.56</v>
      </c>
      <c r="H4" s="358">
        <v>23.69</v>
      </c>
      <c r="I4" s="358">
        <v>24.87</v>
      </c>
    </row>
    <row r="5" spans="1:9" ht="20.100000000000001" customHeight="1" x14ac:dyDescent="0.2">
      <c r="A5" s="387"/>
      <c r="B5" s="361"/>
      <c r="C5" s="361"/>
      <c r="D5" s="360"/>
      <c r="E5" s="360"/>
      <c r="F5" s="360"/>
      <c r="G5" s="360"/>
      <c r="H5" s="360"/>
      <c r="I5" s="360"/>
    </row>
    <row r="6" spans="1:9" ht="20.100000000000001" customHeight="1" x14ac:dyDescent="0.2">
      <c r="A6" s="681" t="s">
        <v>131</v>
      </c>
      <c r="B6" s="388" t="s">
        <v>491</v>
      </c>
      <c r="C6" s="388" t="s">
        <v>522</v>
      </c>
      <c r="D6" s="357" t="s">
        <v>561</v>
      </c>
      <c r="E6" s="357" t="s">
        <v>623</v>
      </c>
      <c r="F6" s="357" t="s">
        <v>732</v>
      </c>
      <c r="G6" s="357" t="s">
        <v>742</v>
      </c>
      <c r="H6" s="357" t="s">
        <v>743</v>
      </c>
      <c r="I6" s="357" t="s">
        <v>747</v>
      </c>
    </row>
    <row r="7" spans="1:9" ht="20.100000000000001" customHeight="1" x14ac:dyDescent="0.2">
      <c r="A7" s="680"/>
      <c r="B7" s="358">
        <v>18.91</v>
      </c>
      <c r="C7" s="358">
        <v>21.01</v>
      </c>
      <c r="D7" s="358">
        <v>21.39</v>
      </c>
      <c r="E7" s="358">
        <v>22.25</v>
      </c>
      <c r="F7" s="358">
        <v>24.43</v>
      </c>
      <c r="G7" s="358">
        <v>25.65</v>
      </c>
      <c r="H7" s="358">
        <v>26.93</v>
      </c>
      <c r="I7" s="358">
        <v>28.28</v>
      </c>
    </row>
    <row r="8" spans="1:9" ht="20.100000000000001" customHeight="1" x14ac:dyDescent="0.2">
      <c r="A8" s="387"/>
      <c r="B8" s="361"/>
      <c r="C8" s="361"/>
      <c r="D8" s="360"/>
      <c r="E8" s="360"/>
      <c r="F8" s="360"/>
      <c r="G8" s="360"/>
      <c r="H8" s="360"/>
      <c r="I8" s="360"/>
    </row>
    <row r="9" spans="1:9" ht="20.100000000000001" customHeight="1" x14ac:dyDescent="0.2">
      <c r="A9" s="681" t="s">
        <v>131</v>
      </c>
      <c r="B9" s="388" t="s">
        <v>492</v>
      </c>
      <c r="C9" s="388" t="s">
        <v>523</v>
      </c>
      <c r="D9" s="357" t="s">
        <v>562</v>
      </c>
      <c r="E9" s="357" t="s">
        <v>624</v>
      </c>
      <c r="F9" s="357" t="s">
        <v>733</v>
      </c>
      <c r="G9" s="357" t="s">
        <v>740</v>
      </c>
      <c r="H9" s="357" t="s">
        <v>741</v>
      </c>
      <c r="I9" s="357" t="s">
        <v>748</v>
      </c>
    </row>
    <row r="10" spans="1:9" ht="20.100000000000001" customHeight="1" x14ac:dyDescent="0.2">
      <c r="A10" s="680"/>
      <c r="B10" s="358">
        <v>21.34</v>
      </c>
      <c r="C10" s="358">
        <v>24.64</v>
      </c>
      <c r="D10" s="358">
        <v>25.08</v>
      </c>
      <c r="E10" s="358">
        <v>26.08</v>
      </c>
      <c r="F10" s="358">
        <v>29.05</v>
      </c>
      <c r="G10" s="358">
        <v>30.5</v>
      </c>
      <c r="H10" s="358">
        <v>32.03</v>
      </c>
      <c r="I10" s="358">
        <v>33.630000000000003</v>
      </c>
    </row>
    <row r="11" spans="1:9" ht="20.100000000000001" customHeight="1" x14ac:dyDescent="0.2">
      <c r="A11" s="387"/>
      <c r="B11" s="361"/>
      <c r="C11" s="361"/>
      <c r="D11" s="360"/>
      <c r="E11" s="360"/>
      <c r="F11" s="360"/>
      <c r="G11" s="360"/>
      <c r="H11" s="360"/>
      <c r="I11" s="360"/>
    </row>
    <row r="12" spans="1:9" ht="20.100000000000001" customHeight="1" x14ac:dyDescent="0.2">
      <c r="A12" s="681" t="s">
        <v>131</v>
      </c>
      <c r="B12" s="388" t="s">
        <v>493</v>
      </c>
      <c r="C12" s="388" t="s">
        <v>524</v>
      </c>
      <c r="D12" s="357" t="s">
        <v>563</v>
      </c>
      <c r="E12" s="357" t="s">
        <v>625</v>
      </c>
      <c r="F12" s="357" t="s">
        <v>734</v>
      </c>
      <c r="G12" s="357" t="s">
        <v>738</v>
      </c>
      <c r="H12" s="357" t="s">
        <v>739</v>
      </c>
      <c r="I12" s="357" t="s">
        <v>749</v>
      </c>
    </row>
    <row r="13" spans="1:9" ht="20.100000000000001" customHeight="1" x14ac:dyDescent="0.2">
      <c r="A13" s="680"/>
      <c r="B13" s="358">
        <v>22.15</v>
      </c>
      <c r="C13" s="358">
        <v>27.15</v>
      </c>
      <c r="D13" s="358">
        <v>27.64</v>
      </c>
      <c r="E13" s="358">
        <v>28.75</v>
      </c>
      <c r="F13" s="358">
        <v>31.33</v>
      </c>
      <c r="G13" s="358">
        <v>32.9</v>
      </c>
      <c r="H13" s="358">
        <v>34.549999999999997</v>
      </c>
      <c r="I13" s="358">
        <v>36.28</v>
      </c>
    </row>
    <row r="14" spans="1:9" ht="20.100000000000001" customHeight="1" x14ac:dyDescent="0.2">
      <c r="A14" s="584"/>
      <c r="B14" s="361"/>
      <c r="C14" s="361"/>
      <c r="D14" s="360"/>
      <c r="E14" s="360"/>
      <c r="F14" s="360"/>
      <c r="G14" s="360"/>
      <c r="H14" s="360"/>
      <c r="I14" s="360"/>
    </row>
    <row r="15" spans="1:9" ht="20.100000000000001" customHeight="1" x14ac:dyDescent="0.2">
      <c r="A15" s="679" t="s">
        <v>131</v>
      </c>
      <c r="B15" s="583" t="s">
        <v>517</v>
      </c>
      <c r="C15" s="583" t="s">
        <v>525</v>
      </c>
      <c r="D15" s="582" t="s">
        <v>564</v>
      </c>
      <c r="E15" s="582" t="s">
        <v>626</v>
      </c>
      <c r="F15" s="582" t="s">
        <v>735</v>
      </c>
      <c r="G15" s="582" t="s">
        <v>736</v>
      </c>
      <c r="H15" s="582" t="s">
        <v>737</v>
      </c>
      <c r="I15" s="582" t="s">
        <v>750</v>
      </c>
    </row>
    <row r="16" spans="1:9" ht="20.100000000000001" customHeight="1" x14ac:dyDescent="0.2">
      <c r="A16" s="680"/>
      <c r="B16" s="358">
        <v>28.08</v>
      </c>
      <c r="C16" s="358">
        <v>28.89</v>
      </c>
      <c r="D16" s="358">
        <v>29.41</v>
      </c>
      <c r="E16" s="358">
        <v>30.59</v>
      </c>
      <c r="F16" s="358">
        <v>32.94</v>
      </c>
      <c r="G16" s="358">
        <v>34.590000000000003</v>
      </c>
      <c r="H16" s="358">
        <v>36.32</v>
      </c>
      <c r="I16" s="358">
        <v>38.14</v>
      </c>
    </row>
    <row r="17" spans="1:9" ht="20.100000000000001" customHeight="1" thickBot="1" x14ac:dyDescent="0.25">
      <c r="A17" s="386"/>
      <c r="B17" s="362"/>
      <c r="C17" s="362"/>
      <c r="D17" s="362"/>
      <c r="E17" s="359"/>
      <c r="F17" s="359"/>
      <c r="G17" s="359"/>
      <c r="H17" s="359"/>
      <c r="I17" s="359"/>
    </row>
    <row r="18" spans="1:9" ht="20.100000000000001" customHeight="1" x14ac:dyDescent="0.2"/>
    <row r="19" spans="1:9" ht="20.100000000000001" customHeight="1" x14ac:dyDescent="0.2"/>
    <row r="20" spans="1:9" ht="20.100000000000001" customHeight="1" x14ac:dyDescent="0.2"/>
    <row r="21" spans="1:9" ht="20.100000000000001" customHeight="1" x14ac:dyDescent="0.2"/>
    <row r="22" spans="1:9" ht="20.100000000000001" customHeight="1" x14ac:dyDescent="0.2"/>
    <row r="23" spans="1:9" ht="20.100000000000001" customHeight="1" x14ac:dyDescent="0.2"/>
    <row r="24" spans="1:9" ht="20.100000000000001" customHeight="1" x14ac:dyDescent="0.2"/>
    <row r="25" spans="1:9" ht="20.100000000000001" customHeight="1" x14ac:dyDescent="0.2"/>
    <row r="26" spans="1:9" ht="20.100000000000001" customHeight="1" x14ac:dyDescent="0.2"/>
    <row r="27" spans="1:9" ht="20.100000000000001" customHeight="1" x14ac:dyDescent="0.2"/>
    <row r="28" spans="1:9" ht="20.100000000000001" customHeight="1" x14ac:dyDescent="0.2"/>
    <row r="29" spans="1:9" ht="20.100000000000001" customHeight="1" x14ac:dyDescent="0.2"/>
  </sheetData>
  <mergeCells count="7">
    <mergeCell ref="G1:I2"/>
    <mergeCell ref="A1:A2"/>
    <mergeCell ref="A15:A16"/>
    <mergeCell ref="A6:A7"/>
    <mergeCell ref="A9:A10"/>
    <mergeCell ref="A12:A13"/>
    <mergeCell ref="A3:A4"/>
  </mergeCells>
  <phoneticPr fontId="21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106"/>
  <sheetViews>
    <sheetView workbookViewId="0">
      <selection activeCell="A2" sqref="A2:Q2"/>
    </sheetView>
  </sheetViews>
  <sheetFormatPr defaultColWidth="9.140625" defaultRowHeight="15" x14ac:dyDescent="0.25"/>
  <cols>
    <col min="1" max="1" width="11.42578125" style="614" bestFit="1" customWidth="1"/>
    <col min="2" max="2" width="13.42578125" style="614" bestFit="1" customWidth="1"/>
    <col min="3" max="3" width="10.5703125" style="614" bestFit="1" customWidth="1"/>
    <col min="4" max="17" width="10" style="614" bestFit="1" customWidth="1"/>
    <col min="18" max="16384" width="9.140625" style="614"/>
  </cols>
  <sheetData>
    <row r="1" spans="1:17" x14ac:dyDescent="0.25">
      <c r="A1" s="682" t="s">
        <v>670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4"/>
    </row>
    <row r="2" spans="1:17" x14ac:dyDescent="0.25">
      <c r="A2" s="685" t="s">
        <v>679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7"/>
    </row>
    <row r="3" spans="1:17" ht="15.75" thickBot="1" x14ac:dyDescent="0.3">
      <c r="A3" s="688" t="s">
        <v>671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90"/>
    </row>
    <row r="4" spans="1:17" x14ac:dyDescent="0.25">
      <c r="A4" s="615" t="s">
        <v>40</v>
      </c>
      <c r="B4" s="616" t="s">
        <v>672</v>
      </c>
      <c r="C4" s="617">
        <v>1</v>
      </c>
      <c r="D4" s="617">
        <v>2</v>
      </c>
      <c r="E4" s="617">
        <v>3</v>
      </c>
      <c r="F4" s="617">
        <v>4</v>
      </c>
      <c r="G4" s="617">
        <v>5</v>
      </c>
      <c r="H4" s="617">
        <v>6</v>
      </c>
      <c r="I4" s="617">
        <v>7</v>
      </c>
      <c r="J4" s="617">
        <v>8</v>
      </c>
      <c r="K4" s="617">
        <v>9</v>
      </c>
      <c r="L4" s="617">
        <v>10</v>
      </c>
      <c r="M4" s="617">
        <v>11</v>
      </c>
      <c r="N4" s="617">
        <v>12</v>
      </c>
      <c r="O4" s="617">
        <v>13</v>
      </c>
      <c r="P4" s="617">
        <v>14</v>
      </c>
      <c r="Q4" s="618">
        <v>15</v>
      </c>
    </row>
    <row r="5" spans="1:17" x14ac:dyDescent="0.25">
      <c r="A5" s="619">
        <v>2023</v>
      </c>
      <c r="B5" s="620"/>
      <c r="C5" s="621">
        <v>0.02</v>
      </c>
      <c r="D5" s="621">
        <f>C5</f>
        <v>0.02</v>
      </c>
      <c r="E5" s="621">
        <f t="shared" ref="E5:Q5" si="0">D5</f>
        <v>0.02</v>
      </c>
      <c r="F5" s="621">
        <f t="shared" si="0"/>
        <v>0.02</v>
      </c>
      <c r="G5" s="621">
        <f t="shared" si="0"/>
        <v>0.02</v>
      </c>
      <c r="H5" s="621">
        <f t="shared" si="0"/>
        <v>0.02</v>
      </c>
      <c r="I5" s="621">
        <f t="shared" si="0"/>
        <v>0.02</v>
      </c>
      <c r="J5" s="621">
        <f t="shared" si="0"/>
        <v>0.02</v>
      </c>
      <c r="K5" s="621">
        <f t="shared" si="0"/>
        <v>0.02</v>
      </c>
      <c r="L5" s="621">
        <f t="shared" si="0"/>
        <v>0.02</v>
      </c>
      <c r="M5" s="621">
        <f t="shared" si="0"/>
        <v>0.02</v>
      </c>
      <c r="N5" s="621">
        <f t="shared" si="0"/>
        <v>0.02</v>
      </c>
      <c r="O5" s="621">
        <f t="shared" si="0"/>
        <v>0.02</v>
      </c>
      <c r="P5" s="621">
        <f t="shared" si="0"/>
        <v>0.02</v>
      </c>
      <c r="Q5" s="622">
        <f t="shared" si="0"/>
        <v>0.02</v>
      </c>
    </row>
    <row r="6" spans="1:17" x14ac:dyDescent="0.25">
      <c r="A6" s="623" t="s">
        <v>208</v>
      </c>
      <c r="B6" s="624">
        <f>19.5+0.97</f>
        <v>20.47</v>
      </c>
      <c r="C6" s="624">
        <f>B6*(1+$C$5)</f>
        <v>20.8794</v>
      </c>
      <c r="D6" s="624">
        <f t="shared" ref="D6:Q6" si="1">C6*(1+$C$5)</f>
        <v>21.296988000000002</v>
      </c>
      <c r="E6" s="624">
        <f t="shared" si="1"/>
        <v>21.722927760000005</v>
      </c>
      <c r="F6" s="624">
        <f t="shared" si="1"/>
        <v>22.157386315200004</v>
      </c>
      <c r="G6" s="624">
        <f t="shared" si="1"/>
        <v>22.600534041504005</v>
      </c>
      <c r="H6" s="624">
        <f t="shared" si="1"/>
        <v>23.052544722334087</v>
      </c>
      <c r="I6" s="624">
        <f t="shared" si="1"/>
        <v>23.513595616780769</v>
      </c>
      <c r="J6" s="624">
        <f t="shared" si="1"/>
        <v>23.983867529116385</v>
      </c>
      <c r="K6" s="624">
        <f t="shared" si="1"/>
        <v>24.463544879698713</v>
      </c>
      <c r="L6" s="624">
        <f t="shared" si="1"/>
        <v>24.952815777292688</v>
      </c>
      <c r="M6" s="624">
        <f t="shared" si="1"/>
        <v>25.451872092838542</v>
      </c>
      <c r="N6" s="624">
        <f t="shared" si="1"/>
        <v>25.960909534695315</v>
      </c>
      <c r="O6" s="624">
        <f t="shared" si="1"/>
        <v>26.48012772538922</v>
      </c>
      <c r="P6" s="624">
        <f t="shared" si="1"/>
        <v>27.009730279897006</v>
      </c>
      <c r="Q6" s="625">
        <f t="shared" si="1"/>
        <v>27.549924885494946</v>
      </c>
    </row>
    <row r="7" spans="1:17" x14ac:dyDescent="0.25">
      <c r="A7" s="626" t="s">
        <v>673</v>
      </c>
      <c r="B7" s="627">
        <f>B6*2990</f>
        <v>61205.299999999996</v>
      </c>
      <c r="C7" s="627">
        <f t="shared" ref="C7:Q7" si="2">C6*2990</f>
        <v>62429.406000000003</v>
      </c>
      <c r="D7" s="627">
        <f t="shared" si="2"/>
        <v>63677.99412000001</v>
      </c>
      <c r="E7" s="627">
        <f t="shared" si="2"/>
        <v>64951.554002400015</v>
      </c>
      <c r="F7" s="627">
        <f t="shared" si="2"/>
        <v>66250.585082448015</v>
      </c>
      <c r="G7" s="627">
        <f t="shared" si="2"/>
        <v>67575.596784096982</v>
      </c>
      <c r="H7" s="627">
        <f t="shared" si="2"/>
        <v>68927.108719778917</v>
      </c>
      <c r="I7" s="627">
        <f t="shared" si="2"/>
        <v>70305.650894174498</v>
      </c>
      <c r="J7" s="627">
        <f t="shared" si="2"/>
        <v>71711.763912057984</v>
      </c>
      <c r="K7" s="627">
        <f t="shared" si="2"/>
        <v>73145.999190299146</v>
      </c>
      <c r="L7" s="627">
        <f t="shared" si="2"/>
        <v>74608.919174105133</v>
      </c>
      <c r="M7" s="627">
        <f t="shared" si="2"/>
        <v>76101.097557587244</v>
      </c>
      <c r="N7" s="627">
        <f t="shared" si="2"/>
        <v>77623.119508738993</v>
      </c>
      <c r="O7" s="627">
        <f t="shared" si="2"/>
        <v>79175.581898913762</v>
      </c>
      <c r="P7" s="627">
        <f t="shared" si="2"/>
        <v>80759.093536892047</v>
      </c>
      <c r="Q7" s="628">
        <f t="shared" si="2"/>
        <v>82374.275407629888</v>
      </c>
    </row>
    <row r="8" spans="1:17" x14ac:dyDescent="0.25">
      <c r="A8" s="629" t="s">
        <v>674</v>
      </c>
      <c r="B8" s="630"/>
      <c r="C8" s="630">
        <f>C6-B6</f>
        <v>0.40940000000000154</v>
      </c>
      <c r="D8" s="630">
        <f>D6-C6</f>
        <v>0.41758800000000207</v>
      </c>
      <c r="E8" s="630">
        <f>E6-D6</f>
        <v>0.42593976000000211</v>
      </c>
      <c r="F8" s="630">
        <f>F6-E6</f>
        <v>0.4344585551999991</v>
      </c>
      <c r="G8" s="630">
        <f t="shared" ref="G8:Q8" si="3">G6-F6</f>
        <v>0.44314772630400157</v>
      </c>
      <c r="H8" s="630">
        <f t="shared" si="3"/>
        <v>0.45201068083008167</v>
      </c>
      <c r="I8" s="630">
        <f t="shared" si="3"/>
        <v>0.46105089444668224</v>
      </c>
      <c r="J8" s="630">
        <f t="shared" si="3"/>
        <v>0.47027191233561538</v>
      </c>
      <c r="K8" s="630">
        <f t="shared" si="3"/>
        <v>0.47967735058232819</v>
      </c>
      <c r="L8" s="630">
        <f t="shared" si="3"/>
        <v>0.48927089759397546</v>
      </c>
      <c r="M8" s="630">
        <f t="shared" si="3"/>
        <v>0.49905631554585383</v>
      </c>
      <c r="N8" s="630">
        <f t="shared" si="3"/>
        <v>0.50903744185677269</v>
      </c>
      <c r="O8" s="630">
        <f t="shared" si="3"/>
        <v>0.51921819069390551</v>
      </c>
      <c r="P8" s="630">
        <f t="shared" si="3"/>
        <v>0.52960255450778604</v>
      </c>
      <c r="Q8" s="631">
        <f t="shared" si="3"/>
        <v>0.54019460559793941</v>
      </c>
    </row>
    <row r="9" spans="1:17" x14ac:dyDescent="0.25">
      <c r="A9" s="626"/>
      <c r="Q9" s="632"/>
    </row>
    <row r="10" spans="1:17" x14ac:dyDescent="0.25">
      <c r="A10" s="623" t="s">
        <v>675</v>
      </c>
      <c r="B10" s="624">
        <f>22.25+1.02</f>
        <v>23.27</v>
      </c>
      <c r="C10" s="624">
        <f>B10*(1+$C$5)</f>
        <v>23.735399999999998</v>
      </c>
      <c r="D10" s="624">
        <f t="shared" ref="D10:Q10" si="4">C10*(1+$C$5)</f>
        <v>24.210107999999998</v>
      </c>
      <c r="E10" s="624">
        <f t="shared" si="4"/>
        <v>24.694310159999997</v>
      </c>
      <c r="F10" s="624">
        <f t="shared" si="4"/>
        <v>25.188196363199996</v>
      </c>
      <c r="G10" s="624">
        <f t="shared" si="4"/>
        <v>25.691960290463996</v>
      </c>
      <c r="H10" s="624">
        <f t="shared" si="4"/>
        <v>26.205799496273276</v>
      </c>
      <c r="I10" s="624">
        <f t="shared" si="4"/>
        <v>26.729915486198742</v>
      </c>
      <c r="J10" s="624">
        <f t="shared" si="4"/>
        <v>27.264513795922717</v>
      </c>
      <c r="K10" s="624">
        <f t="shared" si="4"/>
        <v>27.809804071841171</v>
      </c>
      <c r="L10" s="624">
        <f t="shared" si="4"/>
        <v>28.366000153277994</v>
      </c>
      <c r="M10" s="624">
        <f t="shared" si="4"/>
        <v>28.933320156343555</v>
      </c>
      <c r="N10" s="624">
        <f t="shared" si="4"/>
        <v>29.511986559470426</v>
      </c>
      <c r="O10" s="624">
        <f t="shared" si="4"/>
        <v>30.102226290659836</v>
      </c>
      <c r="P10" s="624">
        <f t="shared" si="4"/>
        <v>30.704270816473034</v>
      </c>
      <c r="Q10" s="625">
        <f t="shared" si="4"/>
        <v>31.318356232802497</v>
      </c>
    </row>
    <row r="11" spans="1:17" x14ac:dyDescent="0.25">
      <c r="A11" s="626" t="s">
        <v>673</v>
      </c>
      <c r="B11" s="627">
        <f>B10*2990</f>
        <v>69577.3</v>
      </c>
      <c r="C11" s="627">
        <f t="shared" ref="C11:Q11" si="5">C10*2990</f>
        <v>70968.84599999999</v>
      </c>
      <c r="D11" s="627">
        <f t="shared" si="5"/>
        <v>72388.22292</v>
      </c>
      <c r="E11" s="627">
        <f t="shared" si="5"/>
        <v>73835.987378399994</v>
      </c>
      <c r="F11" s="627">
        <f t="shared" si="5"/>
        <v>75312.707125967994</v>
      </c>
      <c r="G11" s="627">
        <f t="shared" si="5"/>
        <v>76818.961268487343</v>
      </c>
      <c r="H11" s="627">
        <f t="shared" si="5"/>
        <v>78355.340493857089</v>
      </c>
      <c r="I11" s="627">
        <f t="shared" si="5"/>
        <v>79922.44730373424</v>
      </c>
      <c r="J11" s="627">
        <f t="shared" si="5"/>
        <v>81520.896249808924</v>
      </c>
      <c r="K11" s="627">
        <f t="shared" si="5"/>
        <v>83151.314174805098</v>
      </c>
      <c r="L11" s="627">
        <f t="shared" si="5"/>
        <v>84814.340458301202</v>
      </c>
      <c r="M11" s="627">
        <f t="shared" si="5"/>
        <v>86510.627267467236</v>
      </c>
      <c r="N11" s="627">
        <f t="shared" si="5"/>
        <v>88240.839812816572</v>
      </c>
      <c r="O11" s="627">
        <f t="shared" si="5"/>
        <v>90005.656609072903</v>
      </c>
      <c r="P11" s="627">
        <f t="shared" si="5"/>
        <v>91805.769741254378</v>
      </c>
      <c r="Q11" s="628">
        <f t="shared" si="5"/>
        <v>93641.885136079465</v>
      </c>
    </row>
    <row r="12" spans="1:17" x14ac:dyDescent="0.25">
      <c r="A12" s="629" t="s">
        <v>674</v>
      </c>
      <c r="B12" s="630"/>
      <c r="C12" s="630">
        <f>C10-B10</f>
        <v>0.46539999999999893</v>
      </c>
      <c r="D12" s="630">
        <f>D10-C10</f>
        <v>0.47470799999999969</v>
      </c>
      <c r="E12" s="630">
        <f>E10-D10</f>
        <v>0.48420215999999883</v>
      </c>
      <c r="F12" s="630">
        <f>F10-E10</f>
        <v>0.49388620319999887</v>
      </c>
      <c r="G12" s="630">
        <f t="shared" ref="G12:Q12" si="6">G10-F10</f>
        <v>0.50376392726399999</v>
      </c>
      <c r="H12" s="630">
        <f t="shared" si="6"/>
        <v>0.51383920580927978</v>
      </c>
      <c r="I12" s="630">
        <f t="shared" si="6"/>
        <v>0.52411598992546615</v>
      </c>
      <c r="J12" s="630">
        <f t="shared" si="6"/>
        <v>0.53459830972397526</v>
      </c>
      <c r="K12" s="630">
        <f t="shared" si="6"/>
        <v>0.54529027591845391</v>
      </c>
      <c r="L12" s="630">
        <f t="shared" si="6"/>
        <v>0.55619608143682342</v>
      </c>
      <c r="M12" s="630">
        <f t="shared" si="6"/>
        <v>0.56732000306556074</v>
      </c>
      <c r="N12" s="630">
        <f t="shared" si="6"/>
        <v>0.57866640312687068</v>
      </c>
      <c r="O12" s="630">
        <f t="shared" si="6"/>
        <v>0.59023973118940987</v>
      </c>
      <c r="P12" s="630">
        <f t="shared" si="6"/>
        <v>0.60204452581319856</v>
      </c>
      <c r="Q12" s="631">
        <f t="shared" si="6"/>
        <v>0.61408541632946267</v>
      </c>
    </row>
    <row r="13" spans="1:17" x14ac:dyDescent="0.25">
      <c r="A13" s="626"/>
      <c r="Q13" s="632"/>
    </row>
    <row r="14" spans="1:17" x14ac:dyDescent="0.25">
      <c r="A14" s="623" t="s">
        <v>206</v>
      </c>
      <c r="B14" s="624">
        <f>26.08+1.59</f>
        <v>27.669999999999998</v>
      </c>
      <c r="C14" s="624">
        <f>B14*(1+$C$5)</f>
        <v>28.223399999999998</v>
      </c>
      <c r="D14" s="624">
        <f t="shared" ref="D14:Q14" si="7">C14*(1+$C$5)</f>
        <v>28.787868</v>
      </c>
      <c r="E14" s="624">
        <f t="shared" si="7"/>
        <v>29.36362536</v>
      </c>
      <c r="F14" s="624">
        <f t="shared" si="7"/>
        <v>29.950897867200002</v>
      </c>
      <c r="G14" s="624">
        <f t="shared" si="7"/>
        <v>30.549915824544001</v>
      </c>
      <c r="H14" s="624">
        <f t="shared" si="7"/>
        <v>31.160914141034883</v>
      </c>
      <c r="I14" s="624">
        <f t="shared" si="7"/>
        <v>31.784132423855581</v>
      </c>
      <c r="J14" s="624">
        <f t="shared" si="7"/>
        <v>32.419815072332696</v>
      </c>
      <c r="K14" s="624">
        <f t="shared" si="7"/>
        <v>33.068211373779349</v>
      </c>
      <c r="L14" s="624">
        <f t="shared" si="7"/>
        <v>33.729575601254936</v>
      </c>
      <c r="M14" s="624">
        <f t="shared" si="7"/>
        <v>34.404167113280039</v>
      </c>
      <c r="N14" s="624">
        <f t="shared" si="7"/>
        <v>35.092250455545638</v>
      </c>
      <c r="O14" s="624">
        <f t="shared" si="7"/>
        <v>35.79409546465655</v>
      </c>
      <c r="P14" s="624">
        <f t="shared" si="7"/>
        <v>36.509977373949681</v>
      </c>
      <c r="Q14" s="625">
        <f t="shared" si="7"/>
        <v>37.240176921428677</v>
      </c>
    </row>
    <row r="15" spans="1:17" x14ac:dyDescent="0.25">
      <c r="A15" s="626" t="s">
        <v>673</v>
      </c>
      <c r="B15" s="627">
        <f>B14*2990</f>
        <v>82733.299999999988</v>
      </c>
      <c r="C15" s="627">
        <f t="shared" ref="C15:Q15" si="8">C14*2990</f>
        <v>84387.966</v>
      </c>
      <c r="D15" s="627">
        <f t="shared" si="8"/>
        <v>86075.725319999998</v>
      </c>
      <c r="E15" s="627">
        <f t="shared" si="8"/>
        <v>87797.239826400008</v>
      </c>
      <c r="F15" s="627">
        <f t="shared" si="8"/>
        <v>89553.184622928005</v>
      </c>
      <c r="G15" s="627">
        <f t="shared" si="8"/>
        <v>91344.248315386561</v>
      </c>
      <c r="H15" s="627">
        <f t="shared" si="8"/>
        <v>93171.133281694303</v>
      </c>
      <c r="I15" s="627">
        <f t="shared" si="8"/>
        <v>95034.55594732819</v>
      </c>
      <c r="J15" s="627">
        <f t="shared" si="8"/>
        <v>96935.247066274766</v>
      </c>
      <c r="K15" s="627">
        <f t="shared" si="8"/>
        <v>98873.952007600252</v>
      </c>
      <c r="L15" s="627">
        <f t="shared" si="8"/>
        <v>100851.43104775225</v>
      </c>
      <c r="M15" s="627">
        <f t="shared" si="8"/>
        <v>102868.45966870732</v>
      </c>
      <c r="N15" s="627">
        <f t="shared" si="8"/>
        <v>104925.82886208146</v>
      </c>
      <c r="O15" s="627">
        <f t="shared" si="8"/>
        <v>107024.34543932308</v>
      </c>
      <c r="P15" s="627">
        <f t="shared" si="8"/>
        <v>109164.83234810954</v>
      </c>
      <c r="Q15" s="628">
        <f t="shared" si="8"/>
        <v>111348.12899507175</v>
      </c>
    </row>
    <row r="16" spans="1:17" x14ac:dyDescent="0.25">
      <c r="A16" s="629" t="s">
        <v>674</v>
      </c>
      <c r="B16" s="630"/>
      <c r="C16" s="630">
        <f>C14-B14</f>
        <v>0.55339999999999989</v>
      </c>
      <c r="D16" s="630">
        <f>D14-C14</f>
        <v>0.56446800000000152</v>
      </c>
      <c r="E16" s="630">
        <f>E14-D14</f>
        <v>0.57575736000000077</v>
      </c>
      <c r="F16" s="630">
        <f>F14-E14</f>
        <v>0.58727250720000157</v>
      </c>
      <c r="G16" s="630">
        <f t="shared" ref="G16:Q16" si="9">G14-F14</f>
        <v>0.59901795734399954</v>
      </c>
      <c r="H16" s="630">
        <f t="shared" si="9"/>
        <v>0.61099831649088188</v>
      </c>
      <c r="I16" s="630">
        <f t="shared" si="9"/>
        <v>0.62321828282069802</v>
      </c>
      <c r="J16" s="630">
        <f t="shared" si="9"/>
        <v>0.63568264847711475</v>
      </c>
      <c r="K16" s="630">
        <f t="shared" si="9"/>
        <v>0.6483963014466525</v>
      </c>
      <c r="L16" s="630">
        <f t="shared" si="9"/>
        <v>0.66136422747558754</v>
      </c>
      <c r="M16" s="630">
        <f t="shared" si="9"/>
        <v>0.6745915120251027</v>
      </c>
      <c r="N16" s="630">
        <f t="shared" si="9"/>
        <v>0.68808334226559964</v>
      </c>
      <c r="O16" s="630">
        <f t="shared" si="9"/>
        <v>0.70184500911091163</v>
      </c>
      <c r="P16" s="630">
        <f t="shared" si="9"/>
        <v>0.715881909293131</v>
      </c>
      <c r="Q16" s="631">
        <f t="shared" si="9"/>
        <v>0.73019954747899618</v>
      </c>
    </row>
    <row r="17" spans="1:17" x14ac:dyDescent="0.25">
      <c r="A17" s="626"/>
      <c r="Q17" s="632"/>
    </row>
    <row r="18" spans="1:17" x14ac:dyDescent="0.25">
      <c r="A18" s="623" t="s">
        <v>205</v>
      </c>
      <c r="B18" s="624">
        <f>28.75+1.09</f>
        <v>29.84</v>
      </c>
      <c r="C18" s="624">
        <f>B18*(1+$C$5)</f>
        <v>30.436800000000002</v>
      </c>
      <c r="D18" s="624">
        <f t="shared" ref="D18:Q18" si="10">C18*(1+$C$5)</f>
        <v>31.045536000000002</v>
      </c>
      <c r="E18" s="624">
        <f t="shared" si="10"/>
        <v>31.666446720000003</v>
      </c>
      <c r="F18" s="624">
        <f t="shared" si="10"/>
        <v>32.299775654400001</v>
      </c>
      <c r="G18" s="624">
        <f t="shared" si="10"/>
        <v>32.945771167488004</v>
      </c>
      <c r="H18" s="624">
        <f t="shared" si="10"/>
        <v>33.604686590837765</v>
      </c>
      <c r="I18" s="624">
        <f t="shared" si="10"/>
        <v>34.276780322654524</v>
      </c>
      <c r="J18" s="624">
        <f t="shared" si="10"/>
        <v>34.962315929107618</v>
      </c>
      <c r="K18" s="624">
        <f t="shared" si="10"/>
        <v>35.661562247689773</v>
      </c>
      <c r="L18" s="624">
        <f t="shared" si="10"/>
        <v>36.374793492643569</v>
      </c>
      <c r="M18" s="624">
        <f t="shared" si="10"/>
        <v>37.102289362496442</v>
      </c>
      <c r="N18" s="624">
        <f t="shared" si="10"/>
        <v>37.844335149746371</v>
      </c>
      <c r="O18" s="624">
        <f t="shared" si="10"/>
        <v>38.601221852741297</v>
      </c>
      <c r="P18" s="624">
        <f t="shared" si="10"/>
        <v>39.373246289796121</v>
      </c>
      <c r="Q18" s="625">
        <f t="shared" si="10"/>
        <v>40.160711215592045</v>
      </c>
    </row>
    <row r="19" spans="1:17" x14ac:dyDescent="0.25">
      <c r="A19" s="626" t="s">
        <v>673</v>
      </c>
      <c r="B19" s="627">
        <f>B18*2990</f>
        <v>89221.6</v>
      </c>
      <c r="C19" s="627">
        <f t="shared" ref="C19:Q19" si="11">C18*2990</f>
        <v>91006.032000000007</v>
      </c>
      <c r="D19" s="627">
        <f t="shared" si="11"/>
        <v>92826.15264</v>
      </c>
      <c r="E19" s="627">
        <f t="shared" si="11"/>
        <v>94682.67569280001</v>
      </c>
      <c r="F19" s="627">
        <f t="shared" si="11"/>
        <v>96576.32920665601</v>
      </c>
      <c r="G19" s="627">
        <f t="shared" si="11"/>
        <v>98507.855790789137</v>
      </c>
      <c r="H19" s="627">
        <f t="shared" si="11"/>
        <v>100478.01290660491</v>
      </c>
      <c r="I19" s="627">
        <f t="shared" si="11"/>
        <v>102487.57316473703</v>
      </c>
      <c r="J19" s="627">
        <f t="shared" si="11"/>
        <v>104537.32462803178</v>
      </c>
      <c r="K19" s="627">
        <f t="shared" si="11"/>
        <v>106628.07112059242</v>
      </c>
      <c r="L19" s="627">
        <f t="shared" si="11"/>
        <v>108760.63254300428</v>
      </c>
      <c r="M19" s="627">
        <f t="shared" si="11"/>
        <v>110935.84519386437</v>
      </c>
      <c r="N19" s="627">
        <f t="shared" si="11"/>
        <v>113154.56209774165</v>
      </c>
      <c r="O19" s="627">
        <f t="shared" si="11"/>
        <v>115417.65333969648</v>
      </c>
      <c r="P19" s="627">
        <f t="shared" si="11"/>
        <v>117726.0064064904</v>
      </c>
      <c r="Q19" s="628">
        <f t="shared" si="11"/>
        <v>120080.52653462021</v>
      </c>
    </row>
    <row r="20" spans="1:17" x14ac:dyDescent="0.25">
      <c r="A20" s="629" t="s">
        <v>674</v>
      </c>
      <c r="B20" s="630"/>
      <c r="C20" s="630">
        <f>C18-B18</f>
        <v>0.59680000000000177</v>
      </c>
      <c r="D20" s="630">
        <f>D18-C18</f>
        <v>0.60873600000000039</v>
      </c>
      <c r="E20" s="630">
        <f>E18-D18</f>
        <v>0.62091072000000125</v>
      </c>
      <c r="F20" s="630">
        <f>F18-E18</f>
        <v>0.63332893439999793</v>
      </c>
      <c r="G20" s="630">
        <f t="shared" ref="G20:Q20" si="12">G18-F18</f>
        <v>0.64599551308800329</v>
      </c>
      <c r="H20" s="630">
        <f t="shared" si="12"/>
        <v>0.65891542334976094</v>
      </c>
      <c r="I20" s="630">
        <f t="shared" si="12"/>
        <v>0.67209373181675858</v>
      </c>
      <c r="J20" s="630">
        <f t="shared" si="12"/>
        <v>0.68553560645309375</v>
      </c>
      <c r="K20" s="630">
        <f t="shared" si="12"/>
        <v>0.69924631858215491</v>
      </c>
      <c r="L20" s="630">
        <f t="shared" si="12"/>
        <v>0.71323124495379631</v>
      </c>
      <c r="M20" s="630">
        <f t="shared" si="12"/>
        <v>0.72749586985287351</v>
      </c>
      <c r="N20" s="630">
        <f t="shared" si="12"/>
        <v>0.74204578724992842</v>
      </c>
      <c r="O20" s="630">
        <f t="shared" si="12"/>
        <v>0.756886702994926</v>
      </c>
      <c r="P20" s="630">
        <f t="shared" si="12"/>
        <v>0.77202443705482438</v>
      </c>
      <c r="Q20" s="631">
        <f t="shared" si="12"/>
        <v>0.78746492579592342</v>
      </c>
    </row>
    <row r="21" spans="1:17" x14ac:dyDescent="0.25">
      <c r="A21" s="626"/>
      <c r="Q21" s="632"/>
    </row>
    <row r="22" spans="1:17" x14ac:dyDescent="0.25">
      <c r="A22" s="623" t="s">
        <v>676</v>
      </c>
      <c r="B22" s="624">
        <f>30.59+0.78</f>
        <v>31.37</v>
      </c>
      <c r="C22" s="624">
        <f>B22*(1+$C$5)</f>
        <v>31.997400000000003</v>
      </c>
      <c r="D22" s="624">
        <f t="shared" ref="D22:Q22" si="13">C22*(1+$C$5)</f>
        <v>32.637348000000003</v>
      </c>
      <c r="E22" s="624">
        <f t="shared" si="13"/>
        <v>33.290094960000005</v>
      </c>
      <c r="F22" s="624">
        <f t="shared" si="13"/>
        <v>33.955896859200003</v>
      </c>
      <c r="G22" s="624">
        <f t="shared" si="13"/>
        <v>34.635014796384006</v>
      </c>
      <c r="H22" s="624">
        <f t="shared" si="13"/>
        <v>35.327715092311685</v>
      </c>
      <c r="I22" s="624">
        <f t="shared" si="13"/>
        <v>36.034269394157917</v>
      </c>
      <c r="J22" s="624">
        <f t="shared" si="13"/>
        <v>36.754954782041075</v>
      </c>
      <c r="K22" s="624">
        <f t="shared" si="13"/>
        <v>37.490053877681895</v>
      </c>
      <c r="L22" s="624">
        <f t="shared" si="13"/>
        <v>38.239854955235536</v>
      </c>
      <c r="M22" s="624">
        <f t="shared" si="13"/>
        <v>39.004652054340248</v>
      </c>
      <c r="N22" s="624">
        <f t="shared" si="13"/>
        <v>39.784745095427056</v>
      </c>
      <c r="O22" s="624">
        <f t="shared" si="13"/>
        <v>40.580439997335596</v>
      </c>
      <c r="P22" s="624">
        <f t="shared" si="13"/>
        <v>41.392048797282307</v>
      </c>
      <c r="Q22" s="625">
        <f t="shared" si="13"/>
        <v>42.219889773227955</v>
      </c>
    </row>
    <row r="23" spans="1:17" x14ac:dyDescent="0.25">
      <c r="A23" s="626" t="s">
        <v>673</v>
      </c>
      <c r="B23" s="627">
        <f>B22*2990</f>
        <v>93796.3</v>
      </c>
      <c r="C23" s="627">
        <f t="shared" ref="C23:Q23" si="14">C22*2990</f>
        <v>95672.22600000001</v>
      </c>
      <c r="D23" s="627">
        <f t="shared" si="14"/>
        <v>97585.670520000014</v>
      </c>
      <c r="E23" s="627">
        <f t="shared" si="14"/>
        <v>99537.383930400014</v>
      </c>
      <c r="F23" s="627">
        <f t="shared" si="14"/>
        <v>101528.13160900801</v>
      </c>
      <c r="G23" s="627">
        <f t="shared" si="14"/>
        <v>103558.69424118818</v>
      </c>
      <c r="H23" s="627">
        <f t="shared" si="14"/>
        <v>105629.86812601193</v>
      </c>
      <c r="I23" s="627">
        <f t="shared" si="14"/>
        <v>107742.46548853217</v>
      </c>
      <c r="J23" s="627">
        <f t="shared" si="14"/>
        <v>109897.31479830282</v>
      </c>
      <c r="K23" s="627">
        <f t="shared" si="14"/>
        <v>112095.26109426886</v>
      </c>
      <c r="L23" s="627">
        <f t="shared" si="14"/>
        <v>114337.16631615425</v>
      </c>
      <c r="M23" s="627">
        <f t="shared" si="14"/>
        <v>116623.90964247735</v>
      </c>
      <c r="N23" s="627">
        <f t="shared" si="14"/>
        <v>118956.3878353269</v>
      </c>
      <c r="O23" s="627">
        <f t="shared" si="14"/>
        <v>121335.51559203344</v>
      </c>
      <c r="P23" s="627">
        <f t="shared" si="14"/>
        <v>123762.2259038741</v>
      </c>
      <c r="Q23" s="628">
        <f t="shared" si="14"/>
        <v>126237.47042195158</v>
      </c>
    </row>
    <row r="24" spans="1:17" x14ac:dyDescent="0.25">
      <c r="A24" s="629" t="s">
        <v>674</v>
      </c>
      <c r="B24" s="630"/>
      <c r="C24" s="630">
        <f>C22-B22</f>
        <v>0.62740000000000151</v>
      </c>
      <c r="D24" s="630">
        <f>D22-C22</f>
        <v>0.63994800000000041</v>
      </c>
      <c r="E24" s="630">
        <f>E22-D22</f>
        <v>0.65274696000000176</v>
      </c>
      <c r="F24" s="630">
        <f>F22-E22</f>
        <v>0.6658018991999981</v>
      </c>
      <c r="G24" s="630">
        <f t="shared" ref="G24:Q24" si="15">G22-F22</f>
        <v>0.67911793718400304</v>
      </c>
      <c r="H24" s="630">
        <f t="shared" si="15"/>
        <v>0.69270029592767912</v>
      </c>
      <c r="I24" s="630">
        <f t="shared" si="15"/>
        <v>0.70655430184623214</v>
      </c>
      <c r="J24" s="630">
        <f t="shared" si="15"/>
        <v>0.72068538788315806</v>
      </c>
      <c r="K24" s="630">
        <f t="shared" si="15"/>
        <v>0.73509909564081966</v>
      </c>
      <c r="L24" s="630">
        <f t="shared" si="15"/>
        <v>0.74980107755364145</v>
      </c>
      <c r="M24" s="630">
        <f t="shared" si="15"/>
        <v>0.76479709910471172</v>
      </c>
      <c r="N24" s="630">
        <f t="shared" si="15"/>
        <v>0.78009304108680766</v>
      </c>
      <c r="O24" s="630">
        <f t="shared" si="15"/>
        <v>0.79569490190853998</v>
      </c>
      <c r="P24" s="630">
        <f t="shared" si="15"/>
        <v>0.8116087999467112</v>
      </c>
      <c r="Q24" s="631">
        <f t="shared" si="15"/>
        <v>0.82784097594564798</v>
      </c>
    </row>
    <row r="25" spans="1:17" x14ac:dyDescent="0.25">
      <c r="A25" s="626"/>
      <c r="Q25" s="632"/>
    </row>
    <row r="26" spans="1:17" x14ac:dyDescent="0.25">
      <c r="A26" s="623" t="s">
        <v>677</v>
      </c>
      <c r="B26" s="624">
        <f>32.12+3.62</f>
        <v>35.739999999999995</v>
      </c>
      <c r="C26" s="624">
        <f>B26*(1+$C$5)</f>
        <v>36.454799999999999</v>
      </c>
      <c r="D26" s="624">
        <f t="shared" ref="D26:Q26" si="16">C26*(1+$C$5)</f>
        <v>37.183895999999997</v>
      </c>
      <c r="E26" s="624">
        <f t="shared" si="16"/>
        <v>37.92757392</v>
      </c>
      <c r="F26" s="624">
        <f t="shared" si="16"/>
        <v>38.686125398400002</v>
      </c>
      <c r="G26" s="624">
        <f t="shared" si="16"/>
        <v>39.459847906368005</v>
      </c>
      <c r="H26" s="624">
        <f t="shared" si="16"/>
        <v>40.249044864495367</v>
      </c>
      <c r="I26" s="624">
        <f t="shared" si="16"/>
        <v>41.054025761785276</v>
      </c>
      <c r="J26" s="624">
        <f t="shared" si="16"/>
        <v>41.875106277020983</v>
      </c>
      <c r="K26" s="624">
        <f t="shared" si="16"/>
        <v>42.712608402561401</v>
      </c>
      <c r="L26" s="624">
        <f t="shared" si="16"/>
        <v>43.566860570612633</v>
      </c>
      <c r="M26" s="624">
        <f t="shared" si="16"/>
        <v>44.438197782024886</v>
      </c>
      <c r="N26" s="624">
        <f t="shared" si="16"/>
        <v>45.326961737665385</v>
      </c>
      <c r="O26" s="624">
        <f t="shared" si="16"/>
        <v>46.233500972418696</v>
      </c>
      <c r="P26" s="624">
        <f t="shared" si="16"/>
        <v>47.158170991867074</v>
      </c>
      <c r="Q26" s="625">
        <f t="shared" si="16"/>
        <v>48.101334411704414</v>
      </c>
    </row>
    <row r="27" spans="1:17" x14ac:dyDescent="0.25">
      <c r="A27" s="626" t="s">
        <v>673</v>
      </c>
      <c r="B27" s="627">
        <f>B26*2080</f>
        <v>74339.199999999983</v>
      </c>
      <c r="C27" s="627">
        <f>C26*2080</f>
        <v>75825.983999999997</v>
      </c>
      <c r="D27" s="627">
        <f t="shared" ref="D27:Q27" si="17">D26*2080</f>
        <v>77342.503679999994</v>
      </c>
      <c r="E27" s="627">
        <f t="shared" si="17"/>
        <v>78889.353753600008</v>
      </c>
      <c r="F27" s="627">
        <f t="shared" si="17"/>
        <v>80467.140828671996</v>
      </c>
      <c r="G27" s="627">
        <f t="shared" si="17"/>
        <v>82076.483645245447</v>
      </c>
      <c r="H27" s="627">
        <f t="shared" si="17"/>
        <v>83718.013318150362</v>
      </c>
      <c r="I27" s="627">
        <f t="shared" si="17"/>
        <v>85392.373584513378</v>
      </c>
      <c r="J27" s="627">
        <f t="shared" si="17"/>
        <v>87100.221056203649</v>
      </c>
      <c r="K27" s="627">
        <f t="shared" si="17"/>
        <v>88842.225477327709</v>
      </c>
      <c r="L27" s="627">
        <f t="shared" si="17"/>
        <v>90619.069986874281</v>
      </c>
      <c r="M27" s="627">
        <f t="shared" si="17"/>
        <v>92431.451386611763</v>
      </c>
      <c r="N27" s="627">
        <f t="shared" si="17"/>
        <v>94280.080414344004</v>
      </c>
      <c r="O27" s="627">
        <f t="shared" si="17"/>
        <v>96165.682022630892</v>
      </c>
      <c r="P27" s="627">
        <f t="shared" si="17"/>
        <v>98088.995663083508</v>
      </c>
      <c r="Q27" s="628">
        <f t="shared" si="17"/>
        <v>100050.77557634519</v>
      </c>
    </row>
    <row r="28" spans="1:17" x14ac:dyDescent="0.25">
      <c r="A28" s="629" t="s">
        <v>674</v>
      </c>
      <c r="B28" s="630"/>
      <c r="C28" s="630">
        <f>C26-B26</f>
        <v>0.71480000000000388</v>
      </c>
      <c r="D28" s="630">
        <f>D26-C26</f>
        <v>0.72909599999999841</v>
      </c>
      <c r="E28" s="630">
        <f>E26-D26</f>
        <v>0.74367792000000321</v>
      </c>
      <c r="F28" s="630">
        <f>F26-E26</f>
        <v>0.75855147840000114</v>
      </c>
      <c r="G28" s="630">
        <f t="shared" ref="G28:Q28" si="18">G26-F26</f>
        <v>0.77372250796800301</v>
      </c>
      <c r="H28" s="630">
        <f t="shared" si="18"/>
        <v>0.78919695812736279</v>
      </c>
      <c r="I28" s="630">
        <f t="shared" si="18"/>
        <v>0.80498089728990863</v>
      </c>
      <c r="J28" s="630">
        <f t="shared" si="18"/>
        <v>0.8210805152357068</v>
      </c>
      <c r="K28" s="630">
        <f t="shared" si="18"/>
        <v>0.83750212554041781</v>
      </c>
      <c r="L28" s="630">
        <f t="shared" si="18"/>
        <v>0.85425216805123227</v>
      </c>
      <c r="M28" s="630">
        <f t="shared" si="18"/>
        <v>0.87133721141225351</v>
      </c>
      <c r="N28" s="630">
        <f t="shared" si="18"/>
        <v>0.88876395564049915</v>
      </c>
      <c r="O28" s="630">
        <f t="shared" si="18"/>
        <v>0.90653923475331055</v>
      </c>
      <c r="P28" s="630">
        <f t="shared" si="18"/>
        <v>0.9246700194483779</v>
      </c>
      <c r="Q28" s="631">
        <f t="shared" si="18"/>
        <v>0.9431634198373402</v>
      </c>
    </row>
    <row r="29" spans="1:17" x14ac:dyDescent="0.25">
      <c r="A29" s="626"/>
      <c r="Q29" s="632"/>
    </row>
    <row r="30" spans="1:17" x14ac:dyDescent="0.25">
      <c r="A30" s="623" t="s">
        <v>210</v>
      </c>
      <c r="B30" s="624">
        <f>42.62+3.8</f>
        <v>46.419999999999995</v>
      </c>
      <c r="C30" s="624">
        <f>B30*(1+$C$5)</f>
        <v>47.348399999999998</v>
      </c>
      <c r="D30" s="624">
        <f t="shared" ref="D30:Q30" si="19">C30*(1+$C$5)</f>
        <v>48.295367999999996</v>
      </c>
      <c r="E30" s="624">
        <f t="shared" si="19"/>
        <v>49.261275359999999</v>
      </c>
      <c r="F30" s="624">
        <f t="shared" si="19"/>
        <v>50.246500867199998</v>
      </c>
      <c r="G30" s="624">
        <f t="shared" si="19"/>
        <v>51.251430884544</v>
      </c>
      <c r="H30" s="624">
        <f t="shared" si="19"/>
        <v>52.276459502234879</v>
      </c>
      <c r="I30" s="624">
        <f t="shared" si="19"/>
        <v>53.321988692279575</v>
      </c>
      <c r="J30" s="624">
        <f t="shared" si="19"/>
        <v>54.38842846612517</v>
      </c>
      <c r="K30" s="624">
        <f t="shared" si="19"/>
        <v>55.476197035447676</v>
      </c>
      <c r="L30" s="624">
        <f t="shared" si="19"/>
        <v>56.58572097615663</v>
      </c>
      <c r="M30" s="624">
        <f t="shared" si="19"/>
        <v>57.717435395679765</v>
      </c>
      <c r="N30" s="624">
        <f t="shared" si="19"/>
        <v>58.871784103593363</v>
      </c>
      <c r="O30" s="624">
        <f t="shared" si="19"/>
        <v>60.04921978566523</v>
      </c>
      <c r="P30" s="624">
        <f t="shared" si="19"/>
        <v>61.250204181378535</v>
      </c>
      <c r="Q30" s="625">
        <f t="shared" si="19"/>
        <v>62.47520826500611</v>
      </c>
    </row>
    <row r="31" spans="1:17" x14ac:dyDescent="0.25">
      <c r="A31" s="626" t="s">
        <v>673</v>
      </c>
      <c r="B31" s="627">
        <f>B30*2080</f>
        <v>96553.599999999991</v>
      </c>
      <c r="C31" s="627">
        <f>C30*2080</f>
        <v>98484.671999999991</v>
      </c>
      <c r="D31" s="627">
        <f t="shared" ref="D31:Q31" si="20">D30*2080</f>
        <v>100454.36543999999</v>
      </c>
      <c r="E31" s="627">
        <f t="shared" si="20"/>
        <v>102463.4527488</v>
      </c>
      <c r="F31" s="627">
        <f t="shared" si="20"/>
        <v>104512.721803776</v>
      </c>
      <c r="G31" s="627">
        <f t="shared" si="20"/>
        <v>106602.97623985152</v>
      </c>
      <c r="H31" s="627">
        <f t="shared" si="20"/>
        <v>108735.03576464855</v>
      </c>
      <c r="I31" s="627">
        <f t="shared" si="20"/>
        <v>110909.73647994152</v>
      </c>
      <c r="J31" s="627">
        <f t="shared" si="20"/>
        <v>113127.93120954036</v>
      </c>
      <c r="K31" s="627">
        <f t="shared" si="20"/>
        <v>115390.48983373116</v>
      </c>
      <c r="L31" s="627">
        <f t="shared" si="20"/>
        <v>117698.29963040579</v>
      </c>
      <c r="M31" s="627">
        <f t="shared" si="20"/>
        <v>120052.26562301391</v>
      </c>
      <c r="N31" s="627">
        <f t="shared" si="20"/>
        <v>122453.31093547419</v>
      </c>
      <c r="O31" s="627">
        <f t="shared" si="20"/>
        <v>124902.37715418368</v>
      </c>
      <c r="P31" s="627">
        <f t="shared" si="20"/>
        <v>127400.42469726736</v>
      </c>
      <c r="Q31" s="628">
        <f t="shared" si="20"/>
        <v>129948.43319121271</v>
      </c>
    </row>
    <row r="32" spans="1:17" x14ac:dyDescent="0.25">
      <c r="A32" s="629" t="s">
        <v>674</v>
      </c>
      <c r="B32" s="630"/>
      <c r="C32" s="630">
        <f>C30-B30</f>
        <v>0.92840000000000344</v>
      </c>
      <c r="D32" s="630">
        <f>D30-C30</f>
        <v>0.94696799999999826</v>
      </c>
      <c r="E32" s="630">
        <f>E30-D30</f>
        <v>0.96590736000000277</v>
      </c>
      <c r="F32" s="630">
        <f>F30-E30</f>
        <v>0.98522550719999913</v>
      </c>
      <c r="G32" s="630">
        <f t="shared" ref="G32:Q32" si="21">G30-F30</f>
        <v>1.0049300173440017</v>
      </c>
      <c r="H32" s="630">
        <f t="shared" si="21"/>
        <v>1.0250286176908787</v>
      </c>
      <c r="I32" s="630">
        <f t="shared" si="21"/>
        <v>1.0455291900446966</v>
      </c>
      <c r="J32" s="630">
        <f t="shared" si="21"/>
        <v>1.0664397738455946</v>
      </c>
      <c r="K32" s="630">
        <f t="shared" si="21"/>
        <v>1.0877685693225061</v>
      </c>
      <c r="L32" s="630">
        <f t="shared" si="21"/>
        <v>1.1095239407089537</v>
      </c>
      <c r="M32" s="630">
        <f t="shared" si="21"/>
        <v>1.131714419523135</v>
      </c>
      <c r="N32" s="630">
        <f t="shared" si="21"/>
        <v>1.1543487079135986</v>
      </c>
      <c r="O32" s="630">
        <f t="shared" si="21"/>
        <v>1.1774356820718666</v>
      </c>
      <c r="P32" s="630">
        <f t="shared" si="21"/>
        <v>1.2009843957133057</v>
      </c>
      <c r="Q32" s="631">
        <f t="shared" si="21"/>
        <v>1.2250040836275744</v>
      </c>
    </row>
    <row r="33" spans="1:17" x14ac:dyDescent="0.25">
      <c r="A33" s="626"/>
      <c r="Q33" s="632"/>
    </row>
    <row r="34" spans="1:17" x14ac:dyDescent="0.25">
      <c r="A34" s="623" t="s">
        <v>678</v>
      </c>
      <c r="B34" s="624">
        <f>75.92+5.05</f>
        <v>80.97</v>
      </c>
      <c r="C34" s="624">
        <f>B34*(1+$C$5)</f>
        <v>82.589399999999998</v>
      </c>
      <c r="D34" s="624">
        <f t="shared" ref="D34:Q34" si="22">C34*(1+$C$5)</f>
        <v>84.241187999999994</v>
      </c>
      <c r="E34" s="624">
        <f t="shared" si="22"/>
        <v>85.926011759999994</v>
      </c>
      <c r="F34" s="624">
        <f t="shared" si="22"/>
        <v>87.644531995199998</v>
      </c>
      <c r="G34" s="624">
        <f t="shared" si="22"/>
        <v>89.397422635103993</v>
      </c>
      <c r="H34" s="624">
        <f t="shared" si="22"/>
        <v>91.185371087806075</v>
      </c>
      <c r="I34" s="624">
        <f t="shared" si="22"/>
        <v>93.009078509562201</v>
      </c>
      <c r="J34" s="624">
        <f t="shared" si="22"/>
        <v>94.869260079753445</v>
      </c>
      <c r="K34" s="624">
        <f t="shared" si="22"/>
        <v>96.766645281348517</v>
      </c>
      <c r="L34" s="624">
        <f t="shared" si="22"/>
        <v>98.701978186975495</v>
      </c>
      <c r="M34" s="624">
        <f t="shared" si="22"/>
        <v>100.676017750715</v>
      </c>
      <c r="N34" s="624">
        <f t="shared" si="22"/>
        <v>102.68953810572931</v>
      </c>
      <c r="O34" s="624">
        <f t="shared" si="22"/>
        <v>104.7433288678439</v>
      </c>
      <c r="P34" s="624">
        <f t="shared" si="22"/>
        <v>106.83819544520078</v>
      </c>
      <c r="Q34" s="625">
        <f t="shared" si="22"/>
        <v>108.9749593541048</v>
      </c>
    </row>
    <row r="35" spans="1:17" x14ac:dyDescent="0.25">
      <c r="A35" s="626" t="s">
        <v>673</v>
      </c>
      <c r="B35" s="627">
        <f>B34*2080</f>
        <v>168417.6</v>
      </c>
      <c r="C35" s="627">
        <f>C34*2080</f>
        <v>171785.95199999999</v>
      </c>
      <c r="D35" s="627">
        <f t="shared" ref="D35:Q35" si="23">D34*2080</f>
        <v>175221.67103999999</v>
      </c>
      <c r="E35" s="627">
        <f t="shared" si="23"/>
        <v>178726.10446079998</v>
      </c>
      <c r="F35" s="627">
        <f t="shared" si="23"/>
        <v>182300.62655001599</v>
      </c>
      <c r="G35" s="627">
        <f t="shared" si="23"/>
        <v>185946.6390810163</v>
      </c>
      <c r="H35" s="627">
        <f t="shared" si="23"/>
        <v>189665.57186263663</v>
      </c>
      <c r="I35" s="627">
        <f t="shared" si="23"/>
        <v>193458.88329988939</v>
      </c>
      <c r="J35" s="627">
        <f t="shared" si="23"/>
        <v>197328.06096588715</v>
      </c>
      <c r="K35" s="627">
        <f t="shared" si="23"/>
        <v>201274.62218520491</v>
      </c>
      <c r="L35" s="627">
        <f t="shared" si="23"/>
        <v>205300.11462890904</v>
      </c>
      <c r="M35" s="627">
        <f t="shared" si="23"/>
        <v>209406.11692148721</v>
      </c>
      <c r="N35" s="627">
        <f t="shared" si="23"/>
        <v>213594.23925991697</v>
      </c>
      <c r="O35" s="627">
        <f t="shared" si="23"/>
        <v>217866.12404511531</v>
      </c>
      <c r="P35" s="627">
        <f t="shared" si="23"/>
        <v>222223.44652601762</v>
      </c>
      <c r="Q35" s="628">
        <f t="shared" si="23"/>
        <v>226667.91545653797</v>
      </c>
    </row>
    <row r="36" spans="1:17" ht="15.75" thickBot="1" x14ac:dyDescent="0.3">
      <c r="A36" s="633" t="s">
        <v>674</v>
      </c>
      <c r="B36" s="634"/>
      <c r="C36" s="634">
        <f>C34-B34</f>
        <v>1.6193999999999988</v>
      </c>
      <c r="D36" s="634">
        <f>D34-C34</f>
        <v>1.6517879999999963</v>
      </c>
      <c r="E36" s="634">
        <f>E34-D34</f>
        <v>1.6848237600000004</v>
      </c>
      <c r="F36" s="634">
        <f>F34-E34</f>
        <v>1.7185202352000033</v>
      </c>
      <c r="G36" s="634">
        <f t="shared" ref="G36:Q36" si="24">G34-F34</f>
        <v>1.7528906399039954</v>
      </c>
      <c r="H36" s="634">
        <f t="shared" si="24"/>
        <v>1.7879484527020821</v>
      </c>
      <c r="I36" s="634">
        <f t="shared" si="24"/>
        <v>1.8237074217561258</v>
      </c>
      <c r="J36" s="634">
        <f t="shared" si="24"/>
        <v>1.8601815701912443</v>
      </c>
      <c r="K36" s="634">
        <f t="shared" si="24"/>
        <v>1.8973852015950712</v>
      </c>
      <c r="L36" s="634">
        <f t="shared" si="24"/>
        <v>1.9353329056269786</v>
      </c>
      <c r="M36" s="634">
        <f t="shared" si="24"/>
        <v>1.9740395637395096</v>
      </c>
      <c r="N36" s="634">
        <f t="shared" si="24"/>
        <v>2.0135203550143075</v>
      </c>
      <c r="O36" s="634">
        <f t="shared" si="24"/>
        <v>2.0537907621145877</v>
      </c>
      <c r="P36" s="634">
        <f t="shared" si="24"/>
        <v>2.094866577356882</v>
      </c>
      <c r="Q36" s="635">
        <f t="shared" si="24"/>
        <v>2.1367639089040154</v>
      </c>
    </row>
    <row r="38" spans="1:17" ht="15.75" thickBot="1" x14ac:dyDescent="0.3"/>
    <row r="39" spans="1:17" x14ac:dyDescent="0.25">
      <c r="A39" s="615" t="s">
        <v>40</v>
      </c>
      <c r="B39" s="617">
        <v>16</v>
      </c>
      <c r="C39" s="617">
        <v>17</v>
      </c>
      <c r="D39" s="617">
        <v>18</v>
      </c>
      <c r="E39" s="617">
        <v>19</v>
      </c>
      <c r="F39" s="617">
        <v>20</v>
      </c>
      <c r="G39" s="617">
        <v>21</v>
      </c>
      <c r="H39" s="617">
        <v>22</v>
      </c>
      <c r="I39" s="617">
        <v>23</v>
      </c>
      <c r="J39" s="617">
        <v>24</v>
      </c>
      <c r="K39" s="617">
        <v>25</v>
      </c>
      <c r="L39" s="617">
        <v>26</v>
      </c>
      <c r="M39" s="617">
        <v>27</v>
      </c>
      <c r="N39" s="617">
        <v>28</v>
      </c>
      <c r="O39" s="617">
        <v>29</v>
      </c>
      <c r="P39" s="617">
        <v>30</v>
      </c>
      <c r="Q39" s="618">
        <v>31</v>
      </c>
    </row>
    <row r="40" spans="1:17" x14ac:dyDescent="0.25">
      <c r="A40" s="619">
        <f>A5</f>
        <v>2023</v>
      </c>
      <c r="B40" s="621">
        <f>Q5</f>
        <v>0.02</v>
      </c>
      <c r="C40" s="621">
        <f>B40</f>
        <v>0.02</v>
      </c>
      <c r="D40" s="621">
        <f t="shared" ref="D40:Q40" si="25">C40</f>
        <v>0.02</v>
      </c>
      <c r="E40" s="621">
        <f t="shared" si="25"/>
        <v>0.02</v>
      </c>
      <c r="F40" s="621">
        <f t="shared" si="25"/>
        <v>0.02</v>
      </c>
      <c r="G40" s="621">
        <f t="shared" si="25"/>
        <v>0.02</v>
      </c>
      <c r="H40" s="621">
        <f t="shared" si="25"/>
        <v>0.02</v>
      </c>
      <c r="I40" s="621">
        <f t="shared" si="25"/>
        <v>0.02</v>
      </c>
      <c r="J40" s="621">
        <f t="shared" si="25"/>
        <v>0.02</v>
      </c>
      <c r="K40" s="621">
        <f t="shared" si="25"/>
        <v>0.02</v>
      </c>
      <c r="L40" s="621">
        <f t="shared" si="25"/>
        <v>0.02</v>
      </c>
      <c r="M40" s="621">
        <f t="shared" si="25"/>
        <v>0.02</v>
      </c>
      <c r="N40" s="621">
        <f t="shared" si="25"/>
        <v>0.02</v>
      </c>
      <c r="O40" s="621">
        <f t="shared" si="25"/>
        <v>0.02</v>
      </c>
      <c r="P40" s="621">
        <f t="shared" si="25"/>
        <v>0.02</v>
      </c>
      <c r="Q40" s="622">
        <f t="shared" si="25"/>
        <v>0.02</v>
      </c>
    </row>
    <row r="41" spans="1:17" x14ac:dyDescent="0.25">
      <c r="A41" s="623" t="s">
        <v>208</v>
      </c>
      <c r="B41" s="624">
        <f>Q6*(1+B40)</f>
        <v>28.100923383204844</v>
      </c>
      <c r="C41" s="624">
        <f>B41*(1+C40)</f>
        <v>28.66294185086894</v>
      </c>
      <c r="D41" s="624">
        <f t="shared" ref="D41:Q41" si="26">C41*(1+D40)</f>
        <v>29.236200687886321</v>
      </c>
      <c r="E41" s="624">
        <f t="shared" si="26"/>
        <v>29.820924701644046</v>
      </c>
      <c r="F41" s="624">
        <f t="shared" si="26"/>
        <v>30.417343195676928</v>
      </c>
      <c r="G41" s="624">
        <f t="shared" si="26"/>
        <v>31.025690059590467</v>
      </c>
      <c r="H41" s="624">
        <f t="shared" si="26"/>
        <v>31.646203860782276</v>
      </c>
      <c r="I41" s="624">
        <f t="shared" si="26"/>
        <v>32.27912793799792</v>
      </c>
      <c r="J41" s="624">
        <f t="shared" si="26"/>
        <v>32.924710496757882</v>
      </c>
      <c r="K41" s="624">
        <f t="shared" si="26"/>
        <v>33.583204706693039</v>
      </c>
      <c r="L41" s="624">
        <f t="shared" si="26"/>
        <v>34.254868800826898</v>
      </c>
      <c r="M41" s="624">
        <f t="shared" si="26"/>
        <v>34.939966176843434</v>
      </c>
      <c r="N41" s="624">
        <f t="shared" si="26"/>
        <v>35.638765500380302</v>
      </c>
      <c r="O41" s="624">
        <f t="shared" si="26"/>
        <v>36.35154081038791</v>
      </c>
      <c r="P41" s="624">
        <f t="shared" si="26"/>
        <v>37.078571626595668</v>
      </c>
      <c r="Q41" s="625">
        <f t="shared" si="26"/>
        <v>37.820143059127581</v>
      </c>
    </row>
    <row r="42" spans="1:17" x14ac:dyDescent="0.25">
      <c r="A42" s="626" t="s">
        <v>673</v>
      </c>
      <c r="B42" s="627">
        <f>B41*2990</f>
        <v>84021.760915782477</v>
      </c>
      <c r="C42" s="627">
        <f t="shared" ref="C42:Q42" si="27">C41*2990</f>
        <v>85702.196134098136</v>
      </c>
      <c r="D42" s="627">
        <f t="shared" si="27"/>
        <v>87416.240056780094</v>
      </c>
      <c r="E42" s="627">
        <f t="shared" si="27"/>
        <v>89164.564857915699</v>
      </c>
      <c r="F42" s="627">
        <f t="shared" si="27"/>
        <v>90947.856155074012</v>
      </c>
      <c r="G42" s="627">
        <f t="shared" si="27"/>
        <v>92766.813278175498</v>
      </c>
      <c r="H42" s="627">
        <f t="shared" si="27"/>
        <v>94622.149543738997</v>
      </c>
      <c r="I42" s="627">
        <f t="shared" si="27"/>
        <v>96514.592534613781</v>
      </c>
      <c r="J42" s="627">
        <f t="shared" si="27"/>
        <v>98444.884385306068</v>
      </c>
      <c r="K42" s="627">
        <f t="shared" si="27"/>
        <v>100413.78207301219</v>
      </c>
      <c r="L42" s="627">
        <f t="shared" si="27"/>
        <v>102422.05771447242</v>
      </c>
      <c r="M42" s="627">
        <f t="shared" si="27"/>
        <v>104470.49886876188</v>
      </c>
      <c r="N42" s="627">
        <f t="shared" si="27"/>
        <v>106559.9088461371</v>
      </c>
      <c r="O42" s="627">
        <f t="shared" si="27"/>
        <v>108691.10702305986</v>
      </c>
      <c r="P42" s="627">
        <f t="shared" si="27"/>
        <v>110864.92916352105</v>
      </c>
      <c r="Q42" s="628">
        <f t="shared" si="27"/>
        <v>113082.22774679147</v>
      </c>
    </row>
    <row r="43" spans="1:17" x14ac:dyDescent="0.25">
      <c r="A43" s="629" t="s">
        <v>674</v>
      </c>
      <c r="B43" s="630">
        <f>B41-Q6</f>
        <v>0.55099849770989806</v>
      </c>
      <c r="C43" s="630">
        <f>C41-B41</f>
        <v>0.56201846766409602</v>
      </c>
      <c r="D43" s="630">
        <f>D41-C41</f>
        <v>0.57325883701738078</v>
      </c>
      <c r="E43" s="630">
        <f>E41-D41</f>
        <v>0.5847240137577252</v>
      </c>
      <c r="F43" s="630">
        <f>F41-E41</f>
        <v>0.59641849403288205</v>
      </c>
      <c r="G43" s="630">
        <f t="shared" ref="G43:Q43" si="28">G41-F41</f>
        <v>0.60834686391353898</v>
      </c>
      <c r="H43" s="630">
        <f t="shared" si="28"/>
        <v>0.62051380119180877</v>
      </c>
      <c r="I43" s="630">
        <f t="shared" si="28"/>
        <v>0.63292407721564459</v>
      </c>
      <c r="J43" s="630">
        <f t="shared" si="28"/>
        <v>0.64558255875996196</v>
      </c>
      <c r="K43" s="630">
        <f t="shared" si="28"/>
        <v>0.6584942099351565</v>
      </c>
      <c r="L43" s="630">
        <f t="shared" si="28"/>
        <v>0.67166409413385963</v>
      </c>
      <c r="M43" s="630">
        <f t="shared" si="28"/>
        <v>0.68509737601653597</v>
      </c>
      <c r="N43" s="630">
        <f t="shared" si="28"/>
        <v>0.69879932353686769</v>
      </c>
      <c r="O43" s="630">
        <f t="shared" si="28"/>
        <v>0.71277531000760774</v>
      </c>
      <c r="P43" s="630">
        <f t="shared" si="28"/>
        <v>0.72703081620775833</v>
      </c>
      <c r="Q43" s="631">
        <f t="shared" si="28"/>
        <v>0.74157143253191293</v>
      </c>
    </row>
    <row r="44" spans="1:17" x14ac:dyDescent="0.25">
      <c r="A44" s="626"/>
      <c r="Q44" s="632"/>
    </row>
    <row r="45" spans="1:17" x14ac:dyDescent="0.25">
      <c r="A45" s="623" t="s">
        <v>675</v>
      </c>
      <c r="B45" s="624">
        <f>Q10*(1+B40)</f>
        <v>31.944723357458546</v>
      </c>
      <c r="C45" s="624">
        <f>B45*(1+C40)</f>
        <v>32.583617824607721</v>
      </c>
      <c r="D45" s="624">
        <f t="shared" ref="D45:Q45" si="29">C45*(1+D40)</f>
        <v>33.235290181099877</v>
      </c>
      <c r="E45" s="624">
        <f t="shared" si="29"/>
        <v>33.899995984721876</v>
      </c>
      <c r="F45" s="624">
        <f t="shared" si="29"/>
        <v>34.577995904416312</v>
      </c>
      <c r="G45" s="624">
        <f t="shared" si="29"/>
        <v>35.269555822504636</v>
      </c>
      <c r="H45" s="624">
        <f t="shared" si="29"/>
        <v>35.97494693895473</v>
      </c>
      <c r="I45" s="624">
        <f t="shared" si="29"/>
        <v>36.694445877733827</v>
      </c>
      <c r="J45" s="624">
        <f t="shared" si="29"/>
        <v>37.428334795288507</v>
      </c>
      <c r="K45" s="624">
        <f t="shared" si="29"/>
        <v>38.176901491194279</v>
      </c>
      <c r="L45" s="624">
        <f t="shared" si="29"/>
        <v>38.940439521018163</v>
      </c>
      <c r="M45" s="624">
        <f t="shared" si="29"/>
        <v>39.719248311438527</v>
      </c>
      <c r="N45" s="624">
        <f t="shared" si="29"/>
        <v>40.513633277667296</v>
      </c>
      <c r="O45" s="624">
        <f t="shared" si="29"/>
        <v>41.323905943220645</v>
      </c>
      <c r="P45" s="624">
        <f t="shared" si="29"/>
        <v>42.15038406208506</v>
      </c>
      <c r="Q45" s="625">
        <f t="shared" si="29"/>
        <v>42.993391743326761</v>
      </c>
    </row>
    <row r="46" spans="1:17" x14ac:dyDescent="0.25">
      <c r="A46" s="626" t="s">
        <v>673</v>
      </c>
      <c r="B46" s="627">
        <f>B45*2990</f>
        <v>95514.722838801055</v>
      </c>
      <c r="C46" s="627">
        <f t="shared" ref="C46:Q46" si="30">C45*2990</f>
        <v>97425.017295577083</v>
      </c>
      <c r="D46" s="627">
        <f t="shared" si="30"/>
        <v>99373.517641488637</v>
      </c>
      <c r="E46" s="627">
        <f t="shared" si="30"/>
        <v>101360.98799431841</v>
      </c>
      <c r="F46" s="627">
        <f t="shared" si="30"/>
        <v>103388.20775420478</v>
      </c>
      <c r="G46" s="627">
        <f t="shared" si="30"/>
        <v>105455.97190928886</v>
      </c>
      <c r="H46" s="627">
        <f t="shared" si="30"/>
        <v>107565.09134747465</v>
      </c>
      <c r="I46" s="627">
        <f t="shared" si="30"/>
        <v>109716.39317442414</v>
      </c>
      <c r="J46" s="627">
        <f t="shared" si="30"/>
        <v>111910.72103791263</v>
      </c>
      <c r="K46" s="627">
        <f t="shared" si="30"/>
        <v>114148.93545867089</v>
      </c>
      <c r="L46" s="627">
        <f t="shared" si="30"/>
        <v>116431.91416784431</v>
      </c>
      <c r="M46" s="627">
        <f t="shared" si="30"/>
        <v>118760.55245120119</v>
      </c>
      <c r="N46" s="627">
        <f t="shared" si="30"/>
        <v>121135.76350022522</v>
      </c>
      <c r="O46" s="627">
        <f t="shared" si="30"/>
        <v>123558.47877022973</v>
      </c>
      <c r="P46" s="627">
        <f t="shared" si="30"/>
        <v>126029.64834563433</v>
      </c>
      <c r="Q46" s="628">
        <f t="shared" si="30"/>
        <v>128550.24131254702</v>
      </c>
    </row>
    <row r="47" spans="1:17" x14ac:dyDescent="0.25">
      <c r="A47" s="629" t="s">
        <v>674</v>
      </c>
      <c r="B47" s="630">
        <f>B45-Q10</f>
        <v>0.62636712465604916</v>
      </c>
      <c r="C47" s="630">
        <f>C45-B45</f>
        <v>0.63889446714917497</v>
      </c>
      <c r="D47" s="630">
        <f>D45-C45</f>
        <v>0.65167235649215627</v>
      </c>
      <c r="E47" s="630">
        <f>E45-D45</f>
        <v>0.66470580362199883</v>
      </c>
      <c r="F47" s="630">
        <f>F45-E45</f>
        <v>0.67799991969443596</v>
      </c>
      <c r="G47" s="630">
        <f t="shared" ref="G47:Q47" si="31">G45-F45</f>
        <v>0.6915599180883234</v>
      </c>
      <c r="H47" s="630">
        <f t="shared" si="31"/>
        <v>0.70539111645009456</v>
      </c>
      <c r="I47" s="630">
        <f t="shared" si="31"/>
        <v>0.71949893877909687</v>
      </c>
      <c r="J47" s="630">
        <f t="shared" si="31"/>
        <v>0.73388891755467967</v>
      </c>
      <c r="K47" s="630">
        <f t="shared" si="31"/>
        <v>0.74856669590577241</v>
      </c>
      <c r="L47" s="630">
        <f t="shared" si="31"/>
        <v>0.7635380298238843</v>
      </c>
      <c r="M47" s="630">
        <f t="shared" si="31"/>
        <v>0.77880879042036355</v>
      </c>
      <c r="N47" s="630">
        <f t="shared" si="31"/>
        <v>0.79438496622876897</v>
      </c>
      <c r="O47" s="630">
        <f t="shared" si="31"/>
        <v>0.81027266555334876</v>
      </c>
      <c r="P47" s="630">
        <f t="shared" si="31"/>
        <v>0.82647811886441502</v>
      </c>
      <c r="Q47" s="631">
        <f t="shared" si="31"/>
        <v>0.84300768124170133</v>
      </c>
    </row>
    <row r="48" spans="1:17" x14ac:dyDescent="0.25">
      <c r="A48" s="626"/>
      <c r="Q48" s="632"/>
    </row>
    <row r="49" spans="1:17" x14ac:dyDescent="0.25">
      <c r="A49" s="623" t="s">
        <v>206</v>
      </c>
      <c r="B49" s="624">
        <f>Q14*(1+B40)</f>
        <v>37.984980459857255</v>
      </c>
      <c r="C49" s="624">
        <f>B49*(1+C40)</f>
        <v>38.744680069054404</v>
      </c>
      <c r="D49" s="624">
        <f t="shared" ref="D49:Q49" si="32">C49*(1+D40)</f>
        <v>39.519573670435491</v>
      </c>
      <c r="E49" s="624">
        <f t="shared" si="32"/>
        <v>40.309965143844202</v>
      </c>
      <c r="F49" s="624">
        <f t="shared" si="32"/>
        <v>41.116164446721086</v>
      </c>
      <c r="G49" s="624">
        <f t="shared" si="32"/>
        <v>41.938487735655507</v>
      </c>
      <c r="H49" s="624">
        <f t="shared" si="32"/>
        <v>42.777257490368619</v>
      </c>
      <c r="I49" s="624">
        <f t="shared" si="32"/>
        <v>43.632802640175996</v>
      </c>
      <c r="J49" s="624">
        <f t="shared" si="32"/>
        <v>44.505458692979516</v>
      </c>
      <c r="K49" s="624">
        <f t="shared" si="32"/>
        <v>45.395567866839109</v>
      </c>
      <c r="L49" s="624">
        <f t="shared" si="32"/>
        <v>46.303479224175895</v>
      </c>
      <c r="M49" s="624">
        <f t="shared" si="32"/>
        <v>47.229548808659416</v>
      </c>
      <c r="N49" s="624">
        <f t="shared" si="32"/>
        <v>48.174139784832605</v>
      </c>
      <c r="O49" s="624">
        <f t="shared" si="32"/>
        <v>49.137622580529261</v>
      </c>
      <c r="P49" s="624">
        <f t="shared" si="32"/>
        <v>50.120375032139847</v>
      </c>
      <c r="Q49" s="625">
        <f t="shared" si="32"/>
        <v>51.122782532782644</v>
      </c>
    </row>
    <row r="50" spans="1:17" x14ac:dyDescent="0.25">
      <c r="A50" s="626" t="s">
        <v>673</v>
      </c>
      <c r="B50" s="627">
        <f>B49*2990</f>
        <v>113575.09157497319</v>
      </c>
      <c r="C50" s="627">
        <f t="shared" ref="C50:Q50" si="33">C49*2990</f>
        <v>115846.59340647266</v>
      </c>
      <c r="D50" s="627">
        <f t="shared" si="33"/>
        <v>118163.52527460211</v>
      </c>
      <c r="E50" s="627">
        <f t="shared" si="33"/>
        <v>120526.79578009417</v>
      </c>
      <c r="F50" s="627">
        <f t="shared" si="33"/>
        <v>122937.33169569605</v>
      </c>
      <c r="G50" s="627">
        <f t="shared" si="33"/>
        <v>125396.07832960997</v>
      </c>
      <c r="H50" s="627">
        <f t="shared" si="33"/>
        <v>127903.99989620218</v>
      </c>
      <c r="I50" s="627">
        <f t="shared" si="33"/>
        <v>130462.07989412623</v>
      </c>
      <c r="J50" s="627">
        <f t="shared" si="33"/>
        <v>133071.32149200875</v>
      </c>
      <c r="K50" s="627">
        <f t="shared" si="33"/>
        <v>135732.74792184893</v>
      </c>
      <c r="L50" s="627">
        <f t="shared" si="33"/>
        <v>138447.40288028592</v>
      </c>
      <c r="M50" s="627">
        <f t="shared" si="33"/>
        <v>141216.35093789166</v>
      </c>
      <c r="N50" s="627">
        <f t="shared" si="33"/>
        <v>144040.67795664948</v>
      </c>
      <c r="O50" s="627">
        <f t="shared" si="33"/>
        <v>146921.49151578249</v>
      </c>
      <c r="P50" s="627">
        <f t="shared" si="33"/>
        <v>149859.92134609816</v>
      </c>
      <c r="Q50" s="628">
        <f t="shared" si="33"/>
        <v>152857.11977302009</v>
      </c>
    </row>
    <row r="51" spans="1:17" x14ac:dyDescent="0.25">
      <c r="A51" s="629" t="s">
        <v>674</v>
      </c>
      <c r="B51" s="630">
        <f>B49-Q14</f>
        <v>0.74480353842857738</v>
      </c>
      <c r="C51" s="630">
        <f>C49-B49</f>
        <v>0.75969960919714907</v>
      </c>
      <c r="D51" s="630">
        <f>D49-C49</f>
        <v>0.77489360138108765</v>
      </c>
      <c r="E51" s="630">
        <f>E49-D49</f>
        <v>0.79039147340871097</v>
      </c>
      <c r="F51" s="630">
        <f>F49-E49</f>
        <v>0.80619930287688391</v>
      </c>
      <c r="G51" s="630">
        <f t="shared" ref="G51:Q51" si="34">G49-F49</f>
        <v>0.8223232889344203</v>
      </c>
      <c r="H51" s="630">
        <f t="shared" si="34"/>
        <v>0.83876975471311255</v>
      </c>
      <c r="I51" s="630">
        <f t="shared" si="34"/>
        <v>0.8555451498073765</v>
      </c>
      <c r="J51" s="630">
        <f t="shared" si="34"/>
        <v>0.87265605280352077</v>
      </c>
      <c r="K51" s="630">
        <f t="shared" si="34"/>
        <v>0.89010917385959232</v>
      </c>
      <c r="L51" s="630">
        <f t="shared" si="34"/>
        <v>0.9079113573367863</v>
      </c>
      <c r="M51" s="630">
        <f t="shared" si="34"/>
        <v>0.92606958448352117</v>
      </c>
      <c r="N51" s="630">
        <f t="shared" si="34"/>
        <v>0.94459097617318832</v>
      </c>
      <c r="O51" s="630">
        <f t="shared" si="34"/>
        <v>0.96348279569665607</v>
      </c>
      <c r="P51" s="630">
        <f t="shared" si="34"/>
        <v>0.98275245161058677</v>
      </c>
      <c r="Q51" s="631">
        <f t="shared" si="34"/>
        <v>1.0024075006427964</v>
      </c>
    </row>
    <row r="52" spans="1:17" x14ac:dyDescent="0.25">
      <c r="A52" s="626"/>
      <c r="Q52" s="632"/>
    </row>
    <row r="53" spans="1:17" x14ac:dyDescent="0.25">
      <c r="A53" s="623" t="s">
        <v>205</v>
      </c>
      <c r="B53" s="624">
        <f>Q18*(1+B40)</f>
        <v>40.963925439903889</v>
      </c>
      <c r="C53" s="624">
        <f>B53*(1+C40)</f>
        <v>41.783203948701967</v>
      </c>
      <c r="D53" s="624">
        <f t="shared" ref="D53:Q53" si="35">C53*(1+D40)</f>
        <v>42.618868027676008</v>
      </c>
      <c r="E53" s="624">
        <f t="shared" si="35"/>
        <v>43.471245388229526</v>
      </c>
      <c r="F53" s="624">
        <f t="shared" si="35"/>
        <v>44.340670295994116</v>
      </c>
      <c r="G53" s="624">
        <f t="shared" si="35"/>
        <v>45.227483701913997</v>
      </c>
      <c r="H53" s="624">
        <f t="shared" si="35"/>
        <v>46.132033375952275</v>
      </c>
      <c r="I53" s="624">
        <f t="shared" si="35"/>
        <v>47.054674043471323</v>
      </c>
      <c r="J53" s="624">
        <f t="shared" si="35"/>
        <v>47.995767524340749</v>
      </c>
      <c r="K53" s="624">
        <f t="shared" si="35"/>
        <v>48.955682874827566</v>
      </c>
      <c r="L53" s="624">
        <f t="shared" si="35"/>
        <v>49.934796532324121</v>
      </c>
      <c r="M53" s="624">
        <f t="shared" si="35"/>
        <v>50.933492462970605</v>
      </c>
      <c r="N53" s="624">
        <f t="shared" si="35"/>
        <v>51.952162312230016</v>
      </c>
      <c r="O53" s="624">
        <f t="shared" si="35"/>
        <v>52.991205558474618</v>
      </c>
      <c r="P53" s="624">
        <f t="shared" si="35"/>
        <v>54.051029669644109</v>
      </c>
      <c r="Q53" s="625">
        <f t="shared" si="35"/>
        <v>55.132050263036994</v>
      </c>
    </row>
    <row r="54" spans="1:17" x14ac:dyDescent="0.25">
      <c r="A54" s="626" t="s">
        <v>673</v>
      </c>
      <c r="B54" s="627">
        <f>B53*2990</f>
        <v>122482.13706531262</v>
      </c>
      <c r="C54" s="627">
        <f t="shared" ref="C54:Q54" si="36">C53*2990</f>
        <v>124931.77980661888</v>
      </c>
      <c r="D54" s="627">
        <f t="shared" si="36"/>
        <v>127430.41540275127</v>
      </c>
      <c r="E54" s="627">
        <f t="shared" si="36"/>
        <v>129979.02371080629</v>
      </c>
      <c r="F54" s="627">
        <f t="shared" si="36"/>
        <v>132578.60418502241</v>
      </c>
      <c r="G54" s="627">
        <f t="shared" si="36"/>
        <v>135230.17626872286</v>
      </c>
      <c r="H54" s="627">
        <f t="shared" si="36"/>
        <v>137934.7797940973</v>
      </c>
      <c r="I54" s="627">
        <f t="shared" si="36"/>
        <v>140693.47538997926</v>
      </c>
      <c r="J54" s="627">
        <f t="shared" si="36"/>
        <v>143507.34489777885</v>
      </c>
      <c r="K54" s="627">
        <f t="shared" si="36"/>
        <v>146377.49179573442</v>
      </c>
      <c r="L54" s="627">
        <f t="shared" si="36"/>
        <v>149305.04163164913</v>
      </c>
      <c r="M54" s="627">
        <f t="shared" si="36"/>
        <v>152291.14246428211</v>
      </c>
      <c r="N54" s="627">
        <f t="shared" si="36"/>
        <v>155336.96531356775</v>
      </c>
      <c r="O54" s="627">
        <f t="shared" si="36"/>
        <v>158443.70461983912</v>
      </c>
      <c r="P54" s="627">
        <f t="shared" si="36"/>
        <v>161612.57871223587</v>
      </c>
      <c r="Q54" s="628">
        <f t="shared" si="36"/>
        <v>164844.8302864806</v>
      </c>
    </row>
    <row r="55" spans="1:17" x14ac:dyDescent="0.25">
      <c r="A55" s="629" t="s">
        <v>674</v>
      </c>
      <c r="B55" s="630">
        <f>B53-Q18</f>
        <v>0.8032142243118443</v>
      </c>
      <c r="C55" s="630">
        <f>C53-B53</f>
        <v>0.81927850879807806</v>
      </c>
      <c r="D55" s="630">
        <f>D53-C53</f>
        <v>0.83566407897404105</v>
      </c>
      <c r="E55" s="630">
        <f>E53-D53</f>
        <v>0.85237736055351832</v>
      </c>
      <c r="F55" s="630">
        <f>F53-E53</f>
        <v>0.86942490776458925</v>
      </c>
      <c r="G55" s="630">
        <f t="shared" ref="G55:Q55" si="37">G53-F53</f>
        <v>0.88681340591988089</v>
      </c>
      <c r="H55" s="630">
        <f t="shared" si="37"/>
        <v>0.90454967403827879</v>
      </c>
      <c r="I55" s="630">
        <f t="shared" si="37"/>
        <v>0.9226406675190475</v>
      </c>
      <c r="J55" s="630">
        <f t="shared" si="37"/>
        <v>0.94109348086942646</v>
      </c>
      <c r="K55" s="630">
        <f t="shared" si="37"/>
        <v>0.95991535048681698</v>
      </c>
      <c r="L55" s="630">
        <f t="shared" si="37"/>
        <v>0.97911365749655488</v>
      </c>
      <c r="M55" s="630">
        <f t="shared" si="37"/>
        <v>0.99869593064648399</v>
      </c>
      <c r="N55" s="630">
        <f t="shared" si="37"/>
        <v>1.0186698492594104</v>
      </c>
      <c r="O55" s="630">
        <f t="shared" si="37"/>
        <v>1.0390432462446029</v>
      </c>
      <c r="P55" s="630">
        <f t="shared" si="37"/>
        <v>1.0598241111694904</v>
      </c>
      <c r="Q55" s="631">
        <f t="shared" si="37"/>
        <v>1.0810205933928856</v>
      </c>
    </row>
    <row r="56" spans="1:17" x14ac:dyDescent="0.25">
      <c r="A56" s="626"/>
      <c r="Q56" s="632"/>
    </row>
    <row r="57" spans="1:17" x14ac:dyDescent="0.25">
      <c r="A57" s="623" t="s">
        <v>676</v>
      </c>
      <c r="B57" s="624">
        <f>Q22*(1+B40)</f>
        <v>43.064287568692514</v>
      </c>
      <c r="C57" s="624">
        <f>B57*(1+C40)</f>
        <v>43.925573320066363</v>
      </c>
      <c r="D57" s="624">
        <f t="shared" ref="D57:Q57" si="38">C57*(1+D40)</f>
        <v>44.804084786467691</v>
      </c>
      <c r="E57" s="624">
        <f t="shared" si="38"/>
        <v>45.700166482197048</v>
      </c>
      <c r="F57" s="624">
        <f t="shared" si="38"/>
        <v>46.614169811840988</v>
      </c>
      <c r="G57" s="624">
        <f t="shared" si="38"/>
        <v>47.546453208077807</v>
      </c>
      <c r="H57" s="624">
        <f t="shared" si="38"/>
        <v>48.497382272239363</v>
      </c>
      <c r="I57" s="624">
        <f t="shared" si="38"/>
        <v>49.467329917684154</v>
      </c>
      <c r="J57" s="624">
        <f t="shared" si="38"/>
        <v>50.456676516037838</v>
      </c>
      <c r="K57" s="624">
        <f t="shared" si="38"/>
        <v>51.465810046358598</v>
      </c>
      <c r="L57" s="624">
        <f t="shared" si="38"/>
        <v>52.495126247285768</v>
      </c>
      <c r="M57" s="624">
        <f t="shared" si="38"/>
        <v>53.545028772231483</v>
      </c>
      <c r="N57" s="624">
        <f t="shared" si="38"/>
        <v>54.615929347676115</v>
      </c>
      <c r="O57" s="624">
        <f t="shared" si="38"/>
        <v>55.70824793462964</v>
      </c>
      <c r="P57" s="624">
        <f t="shared" si="38"/>
        <v>56.82241289332223</v>
      </c>
      <c r="Q57" s="625">
        <f t="shared" si="38"/>
        <v>57.958861151188678</v>
      </c>
    </row>
    <row r="58" spans="1:17" x14ac:dyDescent="0.25">
      <c r="A58" s="626" t="s">
        <v>673</v>
      </c>
      <c r="B58" s="627">
        <f>B57*2990</f>
        <v>128762.21983039062</v>
      </c>
      <c r="C58" s="627">
        <f t="shared" ref="C58:Q58" si="39">C57*2990</f>
        <v>131337.46422699842</v>
      </c>
      <c r="D58" s="627">
        <f t="shared" si="39"/>
        <v>133964.2135115384</v>
      </c>
      <c r="E58" s="627">
        <f t="shared" si="39"/>
        <v>136643.49778176917</v>
      </c>
      <c r="F58" s="627">
        <f t="shared" si="39"/>
        <v>139376.36773740457</v>
      </c>
      <c r="G58" s="627">
        <f t="shared" si="39"/>
        <v>142163.89509215264</v>
      </c>
      <c r="H58" s="627">
        <f t="shared" si="39"/>
        <v>145007.17299399569</v>
      </c>
      <c r="I58" s="627">
        <f t="shared" si="39"/>
        <v>147907.31645387562</v>
      </c>
      <c r="J58" s="627">
        <f t="shared" si="39"/>
        <v>150865.46278295314</v>
      </c>
      <c r="K58" s="627">
        <f t="shared" si="39"/>
        <v>153882.77203861219</v>
      </c>
      <c r="L58" s="627">
        <f t="shared" si="39"/>
        <v>156960.42747938444</v>
      </c>
      <c r="M58" s="627">
        <f t="shared" si="39"/>
        <v>160099.63602897213</v>
      </c>
      <c r="N58" s="627">
        <f t="shared" si="39"/>
        <v>163301.62874955157</v>
      </c>
      <c r="O58" s="627">
        <f t="shared" si="39"/>
        <v>166567.66132454263</v>
      </c>
      <c r="P58" s="627">
        <f t="shared" si="39"/>
        <v>169899.01455103347</v>
      </c>
      <c r="Q58" s="628">
        <f t="shared" si="39"/>
        <v>173296.99484205415</v>
      </c>
    </row>
    <row r="59" spans="1:17" x14ac:dyDescent="0.25">
      <c r="A59" s="629" t="s">
        <v>674</v>
      </c>
      <c r="B59" s="630">
        <f>B57-Q22</f>
        <v>0.84439779546455895</v>
      </c>
      <c r="C59" s="630">
        <f>C57-B57</f>
        <v>0.861285751373849</v>
      </c>
      <c r="D59" s="630">
        <f>D57-C57</f>
        <v>0.87851146640132782</v>
      </c>
      <c r="E59" s="630">
        <f>E57-D57</f>
        <v>0.89608169572935736</v>
      </c>
      <c r="F59" s="630">
        <f>F57-E57</f>
        <v>0.91400332964393982</v>
      </c>
      <c r="G59" s="630">
        <f t="shared" ref="G59:Q59" si="40">G57-F57</f>
        <v>0.93228339623681933</v>
      </c>
      <c r="H59" s="630">
        <f t="shared" si="40"/>
        <v>0.95092906416155643</v>
      </c>
      <c r="I59" s="630">
        <f t="shared" si="40"/>
        <v>0.9699476454447904</v>
      </c>
      <c r="J59" s="630">
        <f t="shared" si="40"/>
        <v>0.98934659835368421</v>
      </c>
      <c r="K59" s="630">
        <f t="shared" si="40"/>
        <v>1.00913353032076</v>
      </c>
      <c r="L59" s="630">
        <f t="shared" si="40"/>
        <v>1.0293162009271697</v>
      </c>
      <c r="M59" s="630">
        <f t="shared" si="40"/>
        <v>1.0499025249457148</v>
      </c>
      <c r="N59" s="630">
        <f t="shared" si="40"/>
        <v>1.0709005754446324</v>
      </c>
      <c r="O59" s="630">
        <f t="shared" si="40"/>
        <v>1.0923185869535246</v>
      </c>
      <c r="P59" s="630">
        <f t="shared" si="40"/>
        <v>1.1141649586925908</v>
      </c>
      <c r="Q59" s="631">
        <f t="shared" si="40"/>
        <v>1.1364482578664479</v>
      </c>
    </row>
    <row r="60" spans="1:17" x14ac:dyDescent="0.25">
      <c r="A60" s="626"/>
      <c r="Q60" s="632"/>
    </row>
    <row r="61" spans="1:17" x14ac:dyDescent="0.25">
      <c r="A61" s="623" t="s">
        <v>677</v>
      </c>
      <c r="B61" s="624">
        <f>Q26*(1+B40)</f>
        <v>49.063361099938504</v>
      </c>
      <c r="C61" s="624">
        <f>B61*(1+C40)</f>
        <v>50.044628321937275</v>
      </c>
      <c r="D61" s="624">
        <f t="shared" ref="D61:Q61" si="41">C61*(1+D40)</f>
        <v>51.045520888376018</v>
      </c>
      <c r="E61" s="624">
        <f t="shared" si="41"/>
        <v>52.066431306143542</v>
      </c>
      <c r="F61" s="624">
        <f t="shared" si="41"/>
        <v>53.107759932266411</v>
      </c>
      <c r="G61" s="624">
        <f t="shared" si="41"/>
        <v>54.16991513091174</v>
      </c>
      <c r="H61" s="624">
        <f t="shared" si="41"/>
        <v>55.253313433529975</v>
      </c>
      <c r="I61" s="624">
        <f t="shared" si="41"/>
        <v>56.358379702200573</v>
      </c>
      <c r="J61" s="624">
        <f t="shared" si="41"/>
        <v>57.485547296244583</v>
      </c>
      <c r="K61" s="624">
        <f t="shared" si="41"/>
        <v>58.635258242169478</v>
      </c>
      <c r="L61" s="624">
        <f t="shared" si="41"/>
        <v>59.807963407012871</v>
      </c>
      <c r="M61" s="624">
        <f t="shared" si="41"/>
        <v>61.004122675153127</v>
      </c>
      <c r="N61" s="624">
        <f t="shared" si="41"/>
        <v>62.224205128656187</v>
      </c>
      <c r="O61" s="624">
        <f t="shared" si="41"/>
        <v>63.468689231229312</v>
      </c>
      <c r="P61" s="624">
        <f t="shared" si="41"/>
        <v>64.738063015853896</v>
      </c>
      <c r="Q61" s="625">
        <f t="shared" si="41"/>
        <v>66.03282427617097</v>
      </c>
    </row>
    <row r="62" spans="1:17" x14ac:dyDescent="0.25">
      <c r="A62" s="626" t="s">
        <v>673</v>
      </c>
      <c r="B62" s="627">
        <f>B61*2080</f>
        <v>102051.79108787209</v>
      </c>
      <c r="C62" s="627">
        <f>C61*2080</f>
        <v>104092.82690962953</v>
      </c>
      <c r="D62" s="627">
        <f t="shared" ref="D62:Q62" si="42">D61*2080</f>
        <v>106174.68344782211</v>
      </c>
      <c r="E62" s="627">
        <f t="shared" si="42"/>
        <v>108298.17711677856</v>
      </c>
      <c r="F62" s="627">
        <f t="shared" si="42"/>
        <v>110464.14065911414</v>
      </c>
      <c r="G62" s="627">
        <f t="shared" si="42"/>
        <v>112673.42347229642</v>
      </c>
      <c r="H62" s="627">
        <f t="shared" si="42"/>
        <v>114926.89194174235</v>
      </c>
      <c r="I62" s="627">
        <f t="shared" si="42"/>
        <v>117225.42978057719</v>
      </c>
      <c r="J62" s="627">
        <f t="shared" si="42"/>
        <v>119569.93837618873</v>
      </c>
      <c r="K62" s="627">
        <f t="shared" si="42"/>
        <v>121961.33714371252</v>
      </c>
      <c r="L62" s="627">
        <f t="shared" si="42"/>
        <v>124400.56388658677</v>
      </c>
      <c r="M62" s="627">
        <f t="shared" si="42"/>
        <v>126888.57516431851</v>
      </c>
      <c r="N62" s="627">
        <f t="shared" si="42"/>
        <v>129426.34666760487</v>
      </c>
      <c r="O62" s="627">
        <f t="shared" si="42"/>
        <v>132014.87360095698</v>
      </c>
      <c r="P62" s="627">
        <f t="shared" si="42"/>
        <v>134655.17107297611</v>
      </c>
      <c r="Q62" s="628">
        <f t="shared" si="42"/>
        <v>137348.27449443561</v>
      </c>
    </row>
    <row r="63" spans="1:17" x14ac:dyDescent="0.25">
      <c r="A63" s="629" t="s">
        <v>674</v>
      </c>
      <c r="B63" s="630">
        <f>B61-Q26</f>
        <v>0.96202668823408999</v>
      </c>
      <c r="C63" s="630">
        <f>C61-B61</f>
        <v>0.98126722199877037</v>
      </c>
      <c r="D63" s="630">
        <f>D61-C61</f>
        <v>1.0008925664387434</v>
      </c>
      <c r="E63" s="630">
        <f>E61-D61</f>
        <v>1.0209104177675243</v>
      </c>
      <c r="F63" s="630">
        <f>F61-E61</f>
        <v>1.0413286261228691</v>
      </c>
      <c r="G63" s="630">
        <f t="shared" ref="G63:Q63" si="43">G61-F61</f>
        <v>1.0621551986453284</v>
      </c>
      <c r="H63" s="630">
        <f t="shared" si="43"/>
        <v>1.0833983026182352</v>
      </c>
      <c r="I63" s="630">
        <f t="shared" si="43"/>
        <v>1.1050662686705977</v>
      </c>
      <c r="J63" s="630">
        <f t="shared" si="43"/>
        <v>1.1271675940440105</v>
      </c>
      <c r="K63" s="630">
        <f t="shared" si="43"/>
        <v>1.1497109459248946</v>
      </c>
      <c r="L63" s="630">
        <f t="shared" si="43"/>
        <v>1.1727051648433928</v>
      </c>
      <c r="M63" s="630">
        <f t="shared" si="43"/>
        <v>1.1961592681402564</v>
      </c>
      <c r="N63" s="630">
        <f t="shared" si="43"/>
        <v>1.2200824535030605</v>
      </c>
      <c r="O63" s="630">
        <f t="shared" si="43"/>
        <v>1.244484102573125</v>
      </c>
      <c r="P63" s="630">
        <f t="shared" si="43"/>
        <v>1.2693737846245838</v>
      </c>
      <c r="Q63" s="631">
        <f t="shared" si="43"/>
        <v>1.2947612603170739</v>
      </c>
    </row>
    <row r="64" spans="1:17" x14ac:dyDescent="0.25">
      <c r="A64" s="626"/>
      <c r="Q64" s="632"/>
    </row>
    <row r="65" spans="1:17" x14ac:dyDescent="0.25">
      <c r="A65" s="623" t="s">
        <v>210</v>
      </c>
      <c r="B65" s="624">
        <f>Q30*(1+B40)</f>
        <v>63.724712430306234</v>
      </c>
      <c r="C65" s="624">
        <f>B65*(1+C40)</f>
        <v>64.999206678912358</v>
      </c>
      <c r="D65" s="624">
        <f t="shared" ref="D65:Q65" si="44">C65*(1+D40)</f>
        <v>66.299190812490608</v>
      </c>
      <c r="E65" s="624">
        <f t="shared" si="44"/>
        <v>67.625174628740425</v>
      </c>
      <c r="F65" s="624">
        <f t="shared" si="44"/>
        <v>68.977678121315236</v>
      </c>
      <c r="G65" s="624">
        <f t="shared" si="44"/>
        <v>70.357231683741546</v>
      </c>
      <c r="H65" s="624">
        <f t="shared" si="44"/>
        <v>71.764376317416378</v>
      </c>
      <c r="I65" s="624">
        <f t="shared" si="44"/>
        <v>73.199663843764711</v>
      </c>
      <c r="J65" s="624">
        <f t="shared" si="44"/>
        <v>74.663657120640011</v>
      </c>
      <c r="K65" s="624">
        <f t="shared" si="44"/>
        <v>76.156930263052814</v>
      </c>
      <c r="L65" s="624">
        <f t="shared" si="44"/>
        <v>77.680068868313867</v>
      </c>
      <c r="M65" s="624">
        <f t="shared" si="44"/>
        <v>79.233670245680145</v>
      </c>
      <c r="N65" s="624">
        <f t="shared" si="44"/>
        <v>80.818343650593746</v>
      </c>
      <c r="O65" s="624">
        <f t="shared" si="44"/>
        <v>82.434710523605617</v>
      </c>
      <c r="P65" s="624">
        <f t="shared" si="44"/>
        <v>84.083404734077732</v>
      </c>
      <c r="Q65" s="625">
        <f t="shared" si="44"/>
        <v>85.765072828759287</v>
      </c>
    </row>
    <row r="66" spans="1:17" x14ac:dyDescent="0.25">
      <c r="A66" s="626" t="s">
        <v>673</v>
      </c>
      <c r="B66" s="627">
        <f>B65*2080</f>
        <v>132547.40185503697</v>
      </c>
      <c r="C66" s="627">
        <f>C65*2080</f>
        <v>135198.34989213772</v>
      </c>
      <c r="D66" s="627">
        <f t="shared" ref="D66:Q66" si="45">D65*2080</f>
        <v>137902.31688998046</v>
      </c>
      <c r="E66" s="627">
        <f t="shared" si="45"/>
        <v>140660.36322778009</v>
      </c>
      <c r="F66" s="627">
        <f t="shared" si="45"/>
        <v>143473.57049233568</v>
      </c>
      <c r="G66" s="627">
        <f t="shared" si="45"/>
        <v>146343.04190218242</v>
      </c>
      <c r="H66" s="627">
        <f t="shared" si="45"/>
        <v>149269.90274022607</v>
      </c>
      <c r="I66" s="627">
        <f t="shared" si="45"/>
        <v>152255.30079503061</v>
      </c>
      <c r="J66" s="627">
        <f t="shared" si="45"/>
        <v>155300.40681093122</v>
      </c>
      <c r="K66" s="627">
        <f t="shared" si="45"/>
        <v>158406.41494714987</v>
      </c>
      <c r="L66" s="627">
        <f t="shared" si="45"/>
        <v>161574.54324609286</v>
      </c>
      <c r="M66" s="627">
        <f t="shared" si="45"/>
        <v>164806.03411101471</v>
      </c>
      <c r="N66" s="627">
        <f t="shared" si="45"/>
        <v>168102.15479323498</v>
      </c>
      <c r="O66" s="627">
        <f t="shared" si="45"/>
        <v>171464.19788909968</v>
      </c>
      <c r="P66" s="627">
        <f t="shared" si="45"/>
        <v>174893.48184688168</v>
      </c>
      <c r="Q66" s="628">
        <f t="shared" si="45"/>
        <v>178391.35148381931</v>
      </c>
    </row>
    <row r="67" spans="1:17" x14ac:dyDescent="0.25">
      <c r="A67" s="629" t="s">
        <v>674</v>
      </c>
      <c r="B67" s="630">
        <f>B65-Q30</f>
        <v>1.2495041653001238</v>
      </c>
      <c r="C67" s="630">
        <f>C65-B65</f>
        <v>1.2744942486061248</v>
      </c>
      <c r="D67" s="630">
        <f>D65-C65</f>
        <v>1.2999841335782492</v>
      </c>
      <c r="E67" s="630">
        <f>E65-D65</f>
        <v>1.325983816249817</v>
      </c>
      <c r="F67" s="630">
        <f>F65-E65</f>
        <v>1.3525034925748116</v>
      </c>
      <c r="G67" s="630">
        <f t="shared" ref="G67:Q67" si="46">G65-F65</f>
        <v>1.3795535624263096</v>
      </c>
      <c r="H67" s="630">
        <f t="shared" si="46"/>
        <v>1.4071446336748323</v>
      </c>
      <c r="I67" s="630">
        <f t="shared" si="46"/>
        <v>1.4352875263483327</v>
      </c>
      <c r="J67" s="630">
        <f t="shared" si="46"/>
        <v>1.4639932768752999</v>
      </c>
      <c r="K67" s="630">
        <f t="shared" si="46"/>
        <v>1.4932731424128036</v>
      </c>
      <c r="L67" s="630">
        <f t="shared" si="46"/>
        <v>1.5231386052610532</v>
      </c>
      <c r="M67" s="630">
        <f t="shared" si="46"/>
        <v>1.5536013773662773</v>
      </c>
      <c r="N67" s="630">
        <f t="shared" si="46"/>
        <v>1.5846734049136018</v>
      </c>
      <c r="O67" s="630">
        <f t="shared" si="46"/>
        <v>1.6163668730118701</v>
      </c>
      <c r="P67" s="630">
        <f t="shared" si="46"/>
        <v>1.6486942104721152</v>
      </c>
      <c r="Q67" s="631">
        <f t="shared" si="46"/>
        <v>1.6816680946815552</v>
      </c>
    </row>
    <row r="68" spans="1:17" x14ac:dyDescent="0.25">
      <c r="A68" s="626"/>
      <c r="Q68" s="632"/>
    </row>
    <row r="69" spans="1:17" x14ac:dyDescent="0.25">
      <c r="A69" s="623" t="s">
        <v>678</v>
      </c>
      <c r="B69" s="624">
        <f>Q34*(1+B40)</f>
        <v>111.1544585411869</v>
      </c>
      <c r="C69" s="624">
        <f>B69*(1+C40)</f>
        <v>113.37754771201064</v>
      </c>
      <c r="D69" s="624">
        <f t="shared" ref="D69:Q69" si="47">C69*(1+D40)</f>
        <v>115.64509866625086</v>
      </c>
      <c r="E69" s="624">
        <f t="shared" si="47"/>
        <v>117.95800063957589</v>
      </c>
      <c r="F69" s="624">
        <f t="shared" si="47"/>
        <v>120.31716065236741</v>
      </c>
      <c r="G69" s="624">
        <f t="shared" si="47"/>
        <v>122.72350386541476</v>
      </c>
      <c r="H69" s="624">
        <f t="shared" si="47"/>
        <v>125.17797394272306</v>
      </c>
      <c r="I69" s="624">
        <f t="shared" si="47"/>
        <v>127.68153342157753</v>
      </c>
      <c r="J69" s="624">
        <f t="shared" si="47"/>
        <v>130.23516409000908</v>
      </c>
      <c r="K69" s="624">
        <f t="shared" si="47"/>
        <v>132.83986737180928</v>
      </c>
      <c r="L69" s="624">
        <f t="shared" si="47"/>
        <v>135.49666471924547</v>
      </c>
      <c r="M69" s="624">
        <f t="shared" si="47"/>
        <v>138.20659801363038</v>
      </c>
      <c r="N69" s="624">
        <f t="shared" si="47"/>
        <v>140.97072997390299</v>
      </c>
      <c r="O69" s="624">
        <f t="shared" si="47"/>
        <v>143.79014457338104</v>
      </c>
      <c r="P69" s="624">
        <f t="shared" si="47"/>
        <v>146.66594746484867</v>
      </c>
      <c r="Q69" s="625">
        <f t="shared" si="47"/>
        <v>149.59926641414566</v>
      </c>
    </row>
    <row r="70" spans="1:17" x14ac:dyDescent="0.25">
      <c r="A70" s="626" t="s">
        <v>673</v>
      </c>
      <c r="B70" s="627">
        <f>B69*2080</f>
        <v>231201.27376566874</v>
      </c>
      <c r="C70" s="627">
        <f>C69*2080</f>
        <v>235825.29924098213</v>
      </c>
      <c r="D70" s="627">
        <f t="shared" ref="D70:Q70" si="48">D69*2080</f>
        <v>240541.8052258018</v>
      </c>
      <c r="E70" s="627">
        <f t="shared" si="48"/>
        <v>245352.64133031786</v>
      </c>
      <c r="F70" s="627">
        <f t="shared" si="48"/>
        <v>250259.6941569242</v>
      </c>
      <c r="G70" s="627">
        <f t="shared" si="48"/>
        <v>255264.88804006268</v>
      </c>
      <c r="H70" s="627">
        <f t="shared" si="48"/>
        <v>260370.18580086395</v>
      </c>
      <c r="I70" s="627">
        <f t="shared" si="48"/>
        <v>265577.58951688127</v>
      </c>
      <c r="J70" s="627">
        <f t="shared" si="48"/>
        <v>270889.14130721887</v>
      </c>
      <c r="K70" s="627">
        <f t="shared" si="48"/>
        <v>276306.9241333633</v>
      </c>
      <c r="L70" s="627">
        <f t="shared" si="48"/>
        <v>281833.06261603057</v>
      </c>
      <c r="M70" s="627">
        <f t="shared" si="48"/>
        <v>287469.7238683512</v>
      </c>
      <c r="N70" s="627">
        <f t="shared" si="48"/>
        <v>293219.11834571825</v>
      </c>
      <c r="O70" s="627">
        <f t="shared" si="48"/>
        <v>299083.50071263255</v>
      </c>
      <c r="P70" s="627">
        <f t="shared" si="48"/>
        <v>305065.17072688526</v>
      </c>
      <c r="Q70" s="628">
        <f t="shared" si="48"/>
        <v>311166.47414142295</v>
      </c>
    </row>
    <row r="71" spans="1:17" ht="15.75" thickBot="1" x14ac:dyDescent="0.3">
      <c r="A71" s="633" t="s">
        <v>674</v>
      </c>
      <c r="B71" s="634">
        <f>B69-Q34</f>
        <v>2.1794991870821008</v>
      </c>
      <c r="C71" s="634">
        <f>C69-B69</f>
        <v>2.2230891708237408</v>
      </c>
      <c r="D71" s="634">
        <f>D69-C69</f>
        <v>2.267550954240221</v>
      </c>
      <c r="E71" s="634">
        <f>E69-D69</f>
        <v>2.312901973325026</v>
      </c>
      <c r="F71" s="634">
        <f>F69-E69</f>
        <v>2.35916001279152</v>
      </c>
      <c r="G71" s="634">
        <f t="shared" ref="G71:Q71" si="49">G69-F69</f>
        <v>2.4063432130473501</v>
      </c>
      <c r="H71" s="634">
        <f t="shared" si="49"/>
        <v>2.4544700773083008</v>
      </c>
      <c r="I71" s="634">
        <f t="shared" si="49"/>
        <v>2.5035594788544699</v>
      </c>
      <c r="J71" s="634">
        <f t="shared" si="49"/>
        <v>2.553630668431552</v>
      </c>
      <c r="K71" s="634">
        <f t="shared" si="49"/>
        <v>2.6047032818001981</v>
      </c>
      <c r="L71" s="634">
        <f t="shared" si="49"/>
        <v>2.6567973474361963</v>
      </c>
      <c r="M71" s="634">
        <f t="shared" si="49"/>
        <v>2.7099332943849106</v>
      </c>
      <c r="N71" s="634">
        <f t="shared" si="49"/>
        <v>2.7641319602726071</v>
      </c>
      <c r="O71" s="634">
        <f t="shared" si="49"/>
        <v>2.8194145994780513</v>
      </c>
      <c r="P71" s="634">
        <f t="shared" si="49"/>
        <v>2.8758028914676288</v>
      </c>
      <c r="Q71" s="635">
        <f t="shared" si="49"/>
        <v>2.9333189492969893</v>
      </c>
    </row>
    <row r="73" spans="1:17" ht="15.75" thickBot="1" x14ac:dyDescent="0.3"/>
    <row r="74" spans="1:17" x14ac:dyDescent="0.25">
      <c r="A74" s="615" t="s">
        <v>40</v>
      </c>
      <c r="B74" s="617">
        <v>32</v>
      </c>
      <c r="C74" s="617">
        <v>33</v>
      </c>
      <c r="D74" s="617">
        <v>34</v>
      </c>
      <c r="E74" s="617">
        <v>35</v>
      </c>
      <c r="F74" s="617">
        <v>36</v>
      </c>
      <c r="G74" s="617">
        <v>37</v>
      </c>
      <c r="H74" s="617">
        <v>38</v>
      </c>
      <c r="I74" s="617">
        <v>39</v>
      </c>
      <c r="J74" s="617">
        <v>40</v>
      </c>
      <c r="K74" s="617">
        <v>41</v>
      </c>
      <c r="L74" s="617">
        <v>42</v>
      </c>
      <c r="M74" s="617">
        <v>43</v>
      </c>
      <c r="N74" s="617">
        <v>44</v>
      </c>
      <c r="O74" s="617">
        <v>45</v>
      </c>
      <c r="P74" s="617">
        <v>46</v>
      </c>
      <c r="Q74" s="618">
        <v>47</v>
      </c>
    </row>
    <row r="75" spans="1:17" x14ac:dyDescent="0.25">
      <c r="A75" s="619">
        <f>A5</f>
        <v>2023</v>
      </c>
      <c r="B75" s="621">
        <f>Q40</f>
        <v>0.02</v>
      </c>
      <c r="C75" s="621">
        <f>B75</f>
        <v>0.02</v>
      </c>
      <c r="D75" s="621">
        <f t="shared" ref="D75:Q75" si="50">C75</f>
        <v>0.02</v>
      </c>
      <c r="E75" s="621">
        <f t="shared" si="50"/>
        <v>0.02</v>
      </c>
      <c r="F75" s="621">
        <f t="shared" si="50"/>
        <v>0.02</v>
      </c>
      <c r="G75" s="621">
        <f t="shared" si="50"/>
        <v>0.02</v>
      </c>
      <c r="H75" s="621">
        <f t="shared" si="50"/>
        <v>0.02</v>
      </c>
      <c r="I75" s="621">
        <f t="shared" si="50"/>
        <v>0.02</v>
      </c>
      <c r="J75" s="621">
        <f t="shared" si="50"/>
        <v>0.02</v>
      </c>
      <c r="K75" s="621">
        <f t="shared" si="50"/>
        <v>0.02</v>
      </c>
      <c r="L75" s="621">
        <f t="shared" si="50"/>
        <v>0.02</v>
      </c>
      <c r="M75" s="621">
        <f t="shared" si="50"/>
        <v>0.02</v>
      </c>
      <c r="N75" s="621">
        <f t="shared" si="50"/>
        <v>0.02</v>
      </c>
      <c r="O75" s="621">
        <f t="shared" si="50"/>
        <v>0.02</v>
      </c>
      <c r="P75" s="621">
        <f t="shared" si="50"/>
        <v>0.02</v>
      </c>
      <c r="Q75" s="622">
        <f t="shared" si="50"/>
        <v>0.02</v>
      </c>
    </row>
    <row r="76" spans="1:17" x14ac:dyDescent="0.25">
      <c r="A76" s="623" t="s">
        <v>208</v>
      </c>
      <c r="B76" s="624">
        <f>Q41*(1+B75)</f>
        <v>38.576545920310132</v>
      </c>
      <c r="C76" s="624">
        <f>B76*(1+C75)</f>
        <v>39.348076838716338</v>
      </c>
      <c r="D76" s="624">
        <f t="shared" ref="D76:Q76" si="51">C76*(1+D75)</f>
        <v>40.135038375490666</v>
      </c>
      <c r="E76" s="624">
        <f t="shared" si="51"/>
        <v>40.937739143000478</v>
      </c>
      <c r="F76" s="624">
        <f t="shared" si="51"/>
        <v>41.756493925860489</v>
      </c>
      <c r="G76" s="624">
        <f t="shared" si="51"/>
        <v>42.591623804377697</v>
      </c>
      <c r="H76" s="624">
        <f t="shared" si="51"/>
        <v>43.443456280465249</v>
      </c>
      <c r="I76" s="624">
        <f t="shared" si="51"/>
        <v>44.312325406074557</v>
      </c>
      <c r="J76" s="624">
        <f t="shared" si="51"/>
        <v>45.198571914196052</v>
      </c>
      <c r="K76" s="624">
        <f t="shared" si="51"/>
        <v>46.102543352479977</v>
      </c>
      <c r="L76" s="624">
        <f t="shared" si="51"/>
        <v>47.024594219529575</v>
      </c>
      <c r="M76" s="624">
        <f t="shared" si="51"/>
        <v>47.965086103920164</v>
      </c>
      <c r="N76" s="624">
        <f t="shared" si="51"/>
        <v>48.924387825998565</v>
      </c>
      <c r="O76" s="624">
        <f t="shared" si="51"/>
        <v>49.90287558251854</v>
      </c>
      <c r="P76" s="624">
        <f t="shared" si="51"/>
        <v>50.900933094168913</v>
      </c>
      <c r="Q76" s="625">
        <f t="shared" si="51"/>
        <v>51.918951756052294</v>
      </c>
    </row>
    <row r="77" spans="1:17" x14ac:dyDescent="0.25">
      <c r="A77" s="626" t="s">
        <v>673</v>
      </c>
      <c r="B77" s="627">
        <f>B76*2990</f>
        <v>115343.8723017273</v>
      </c>
      <c r="C77" s="627">
        <f t="shared" ref="C77:Q77" si="52">C76*2990</f>
        <v>117650.74974776185</v>
      </c>
      <c r="D77" s="627">
        <f t="shared" si="52"/>
        <v>120003.76474271709</v>
      </c>
      <c r="E77" s="627">
        <f t="shared" si="52"/>
        <v>122403.84003757143</v>
      </c>
      <c r="F77" s="627">
        <f t="shared" si="52"/>
        <v>124851.91683832287</v>
      </c>
      <c r="G77" s="627">
        <f t="shared" si="52"/>
        <v>127348.95517508932</v>
      </c>
      <c r="H77" s="627">
        <f t="shared" si="52"/>
        <v>129895.9342785911</v>
      </c>
      <c r="I77" s="627">
        <f t="shared" si="52"/>
        <v>132493.85296416291</v>
      </c>
      <c r="J77" s="627">
        <f t="shared" si="52"/>
        <v>135143.7300234462</v>
      </c>
      <c r="K77" s="627">
        <f t="shared" si="52"/>
        <v>137846.60462391513</v>
      </c>
      <c r="L77" s="627">
        <f t="shared" si="52"/>
        <v>140603.53671639343</v>
      </c>
      <c r="M77" s="627">
        <f t="shared" si="52"/>
        <v>143415.60745072129</v>
      </c>
      <c r="N77" s="627">
        <f t="shared" si="52"/>
        <v>146283.9195997357</v>
      </c>
      <c r="O77" s="627">
        <f t="shared" si="52"/>
        <v>149209.59799173044</v>
      </c>
      <c r="P77" s="627">
        <f t="shared" si="52"/>
        <v>152193.78995156504</v>
      </c>
      <c r="Q77" s="628">
        <f t="shared" si="52"/>
        <v>155237.66575059635</v>
      </c>
    </row>
    <row r="78" spans="1:17" x14ac:dyDescent="0.25">
      <c r="A78" s="629" t="s">
        <v>674</v>
      </c>
      <c r="B78" s="630">
        <f>B76-Q41</f>
        <v>0.75640286118255062</v>
      </c>
      <c r="C78" s="630">
        <f>C76-B76</f>
        <v>0.77153091840620647</v>
      </c>
      <c r="D78" s="630">
        <f>D76-C76</f>
        <v>0.7869615367743279</v>
      </c>
      <c r="E78" s="630">
        <f>E76-D76</f>
        <v>0.8027007675098119</v>
      </c>
      <c r="F78" s="630">
        <f>F76-E76</f>
        <v>0.81875478286001169</v>
      </c>
      <c r="G78" s="630">
        <f t="shared" ref="G78:Q78" si="53">G76-F76</f>
        <v>0.83512987851720766</v>
      </c>
      <c r="H78" s="630">
        <f t="shared" si="53"/>
        <v>0.85183247608755153</v>
      </c>
      <c r="I78" s="630">
        <f t="shared" si="53"/>
        <v>0.86886912560930796</v>
      </c>
      <c r="J78" s="630">
        <f t="shared" si="53"/>
        <v>0.88624650812149497</v>
      </c>
      <c r="K78" s="630">
        <f t="shared" si="53"/>
        <v>0.90397143828392501</v>
      </c>
      <c r="L78" s="630">
        <f t="shared" si="53"/>
        <v>0.92205086704959882</v>
      </c>
      <c r="M78" s="630">
        <f t="shared" si="53"/>
        <v>0.94049188439058895</v>
      </c>
      <c r="N78" s="630">
        <f t="shared" si="53"/>
        <v>0.95930172207840059</v>
      </c>
      <c r="O78" s="630">
        <f t="shared" si="53"/>
        <v>0.97848775651997499</v>
      </c>
      <c r="P78" s="630">
        <f t="shared" si="53"/>
        <v>0.99805751165037293</v>
      </c>
      <c r="Q78" s="631">
        <f t="shared" si="53"/>
        <v>1.0180186618833815</v>
      </c>
    </row>
    <row r="79" spans="1:17" x14ac:dyDescent="0.25">
      <c r="A79" s="626"/>
      <c r="Q79" s="632"/>
    </row>
    <row r="80" spans="1:17" x14ac:dyDescent="0.25">
      <c r="A80" s="623" t="s">
        <v>675</v>
      </c>
      <c r="B80" s="624">
        <f>Q45*(1+B75)</f>
        <v>43.853259578193295</v>
      </c>
      <c r="C80" s="624">
        <f>B80*(1+C75)</f>
        <v>44.730324769757161</v>
      </c>
      <c r="D80" s="624">
        <f t="shared" ref="D80:Q80" si="54">C80*(1+D75)</f>
        <v>45.624931265152306</v>
      </c>
      <c r="E80" s="624">
        <f t="shared" si="54"/>
        <v>46.53742989045535</v>
      </c>
      <c r="F80" s="624">
        <f t="shared" si="54"/>
        <v>47.468178488264456</v>
      </c>
      <c r="G80" s="624">
        <f t="shared" si="54"/>
        <v>48.417542058029746</v>
      </c>
      <c r="H80" s="624">
        <f t="shared" si="54"/>
        <v>49.385892899190338</v>
      </c>
      <c r="I80" s="624">
        <f t="shared" si="54"/>
        <v>50.373610757174148</v>
      </c>
      <c r="J80" s="624">
        <f t="shared" si="54"/>
        <v>51.381082972317635</v>
      </c>
      <c r="K80" s="624">
        <f t="shared" si="54"/>
        <v>52.408704631763989</v>
      </c>
      <c r="L80" s="624">
        <f t="shared" si="54"/>
        <v>53.456878724399267</v>
      </c>
      <c r="M80" s="624">
        <f t="shared" si="54"/>
        <v>54.526016298887257</v>
      </c>
      <c r="N80" s="624">
        <f t="shared" si="54"/>
        <v>55.616536624865006</v>
      </c>
      <c r="O80" s="624">
        <f t="shared" si="54"/>
        <v>56.728867357362304</v>
      </c>
      <c r="P80" s="624">
        <f t="shared" si="54"/>
        <v>57.863444704509554</v>
      </c>
      <c r="Q80" s="625">
        <f t="shared" si="54"/>
        <v>59.020713598599748</v>
      </c>
    </row>
    <row r="81" spans="1:17" x14ac:dyDescent="0.25">
      <c r="A81" s="626" t="s">
        <v>673</v>
      </c>
      <c r="B81" s="627">
        <f>B80*2990</f>
        <v>131121.24613879796</v>
      </c>
      <c r="C81" s="627">
        <f t="shared" ref="C81:Q81" si="55">C80*2990</f>
        <v>133743.6710615739</v>
      </c>
      <c r="D81" s="627">
        <f t="shared" si="55"/>
        <v>136418.54448280539</v>
      </c>
      <c r="E81" s="627">
        <f t="shared" si="55"/>
        <v>139146.91537246149</v>
      </c>
      <c r="F81" s="627">
        <f t="shared" si="55"/>
        <v>141929.85367991074</v>
      </c>
      <c r="G81" s="627">
        <f t="shared" si="55"/>
        <v>144768.45075350895</v>
      </c>
      <c r="H81" s="627">
        <f t="shared" si="55"/>
        <v>147663.81976857912</v>
      </c>
      <c r="I81" s="627">
        <f t="shared" si="55"/>
        <v>150617.09616395071</v>
      </c>
      <c r="J81" s="627">
        <f t="shared" si="55"/>
        <v>153629.43808722973</v>
      </c>
      <c r="K81" s="627">
        <f t="shared" si="55"/>
        <v>156702.02684897432</v>
      </c>
      <c r="L81" s="627">
        <f t="shared" si="55"/>
        <v>159836.06738595382</v>
      </c>
      <c r="M81" s="627">
        <f t="shared" si="55"/>
        <v>163032.7887336729</v>
      </c>
      <c r="N81" s="627">
        <f t="shared" si="55"/>
        <v>166293.44450834638</v>
      </c>
      <c r="O81" s="627">
        <f t="shared" si="55"/>
        <v>169619.3133985133</v>
      </c>
      <c r="P81" s="627">
        <f t="shared" si="55"/>
        <v>173011.69966648356</v>
      </c>
      <c r="Q81" s="628">
        <f t="shared" si="55"/>
        <v>176471.93365981325</v>
      </c>
    </row>
    <row r="82" spans="1:17" x14ac:dyDescent="0.25">
      <c r="A82" s="629" t="s">
        <v>674</v>
      </c>
      <c r="B82" s="630">
        <f>B80-Q45</f>
        <v>0.85986783486653451</v>
      </c>
      <c r="C82" s="630">
        <f>C80-B80</f>
        <v>0.8770651915638652</v>
      </c>
      <c r="D82" s="630">
        <f>D80-C80</f>
        <v>0.89460649539514492</v>
      </c>
      <c r="E82" s="630">
        <f>E80-D80</f>
        <v>0.91249862530304426</v>
      </c>
      <c r="F82" s="630">
        <f>F80-E80</f>
        <v>0.93074859780910657</v>
      </c>
      <c r="G82" s="630">
        <f t="shared" ref="G82:Q82" si="56">G80-F80</f>
        <v>0.94936356976528913</v>
      </c>
      <c r="H82" s="630">
        <f t="shared" si="56"/>
        <v>0.96835084116059278</v>
      </c>
      <c r="I82" s="630">
        <f t="shared" si="56"/>
        <v>0.98771785798381018</v>
      </c>
      <c r="J82" s="630">
        <f t="shared" si="56"/>
        <v>1.0074722151434869</v>
      </c>
      <c r="K82" s="630">
        <f t="shared" si="56"/>
        <v>1.0276216594463534</v>
      </c>
      <c r="L82" s="630">
        <f t="shared" si="56"/>
        <v>1.0481740926352785</v>
      </c>
      <c r="M82" s="630">
        <f t="shared" si="56"/>
        <v>1.0691375744879892</v>
      </c>
      <c r="N82" s="630">
        <f t="shared" si="56"/>
        <v>1.0905203259777494</v>
      </c>
      <c r="O82" s="630">
        <f t="shared" si="56"/>
        <v>1.1123307324972984</v>
      </c>
      <c r="P82" s="630">
        <f t="shared" si="56"/>
        <v>1.1345773471472498</v>
      </c>
      <c r="Q82" s="631">
        <f t="shared" si="56"/>
        <v>1.1572688940901941</v>
      </c>
    </row>
    <row r="83" spans="1:17" x14ac:dyDescent="0.25">
      <c r="A83" s="626"/>
      <c r="Q83" s="632"/>
    </row>
    <row r="84" spans="1:17" x14ac:dyDescent="0.25">
      <c r="A84" s="623" t="s">
        <v>206</v>
      </c>
      <c r="B84" s="624">
        <f>Q49*(1+B75)</f>
        <v>52.145238183438295</v>
      </c>
      <c r="C84" s="624">
        <f>B84*(1+C75)</f>
        <v>53.18814294710706</v>
      </c>
      <c r="D84" s="624">
        <f t="shared" ref="D84:Q84" si="57">C84*(1+D75)</f>
        <v>54.251905806049201</v>
      </c>
      <c r="E84" s="624">
        <f t="shared" si="57"/>
        <v>55.336943922170185</v>
      </c>
      <c r="F84" s="624">
        <f t="shared" si="57"/>
        <v>56.443682800613587</v>
      </c>
      <c r="G84" s="624">
        <f t="shared" si="57"/>
        <v>57.572556456625861</v>
      </c>
      <c r="H84" s="624">
        <f t="shared" si="57"/>
        <v>58.724007585758379</v>
      </c>
      <c r="I84" s="624">
        <f t="shared" si="57"/>
        <v>59.898487737473545</v>
      </c>
      <c r="J84" s="624">
        <f t="shared" si="57"/>
        <v>61.096457492223017</v>
      </c>
      <c r="K84" s="624">
        <f t="shared" si="57"/>
        <v>62.31838664206748</v>
      </c>
      <c r="L84" s="624">
        <f t="shared" si="57"/>
        <v>63.56475437490883</v>
      </c>
      <c r="M84" s="624">
        <f t="shared" si="57"/>
        <v>64.836049462407004</v>
      </c>
      <c r="N84" s="624">
        <f t="shared" si="57"/>
        <v>66.132770451655148</v>
      </c>
      <c r="O84" s="624">
        <f t="shared" si="57"/>
        <v>67.455425860688251</v>
      </c>
      <c r="P84" s="624">
        <f t="shared" si="57"/>
        <v>68.804534377902016</v>
      </c>
      <c r="Q84" s="625">
        <f t="shared" si="57"/>
        <v>70.180625065460063</v>
      </c>
    </row>
    <row r="85" spans="1:17" x14ac:dyDescent="0.25">
      <c r="A85" s="626" t="s">
        <v>673</v>
      </c>
      <c r="B85" s="627">
        <f>B84*2990</f>
        <v>155914.26216848049</v>
      </c>
      <c r="C85" s="627">
        <f t="shared" ref="C85:Q85" si="58">C84*2990</f>
        <v>159032.5474118501</v>
      </c>
      <c r="D85" s="627">
        <f t="shared" si="58"/>
        <v>162213.19836008712</v>
      </c>
      <c r="E85" s="627">
        <f t="shared" si="58"/>
        <v>165457.46232728884</v>
      </c>
      <c r="F85" s="627">
        <f t="shared" si="58"/>
        <v>168766.61157383461</v>
      </c>
      <c r="G85" s="627">
        <f t="shared" si="58"/>
        <v>172141.94380531131</v>
      </c>
      <c r="H85" s="627">
        <f t="shared" si="58"/>
        <v>175584.78268141756</v>
      </c>
      <c r="I85" s="627">
        <f t="shared" si="58"/>
        <v>179096.47833504589</v>
      </c>
      <c r="J85" s="627">
        <f t="shared" si="58"/>
        <v>182678.40790174683</v>
      </c>
      <c r="K85" s="627">
        <f t="shared" si="58"/>
        <v>186331.97605978177</v>
      </c>
      <c r="L85" s="627">
        <f t="shared" si="58"/>
        <v>190058.61558097741</v>
      </c>
      <c r="M85" s="627">
        <f t="shared" si="58"/>
        <v>193859.78789259694</v>
      </c>
      <c r="N85" s="627">
        <f t="shared" si="58"/>
        <v>197736.98365044888</v>
      </c>
      <c r="O85" s="627">
        <f t="shared" si="58"/>
        <v>201691.72332345787</v>
      </c>
      <c r="P85" s="627">
        <f t="shared" si="58"/>
        <v>205725.55778992703</v>
      </c>
      <c r="Q85" s="628">
        <f t="shared" si="58"/>
        <v>209840.06894572559</v>
      </c>
    </row>
    <row r="86" spans="1:17" x14ac:dyDescent="0.25">
      <c r="A86" s="629" t="s">
        <v>674</v>
      </c>
      <c r="B86" s="630">
        <f>B84-Q49</f>
        <v>1.022455650655651</v>
      </c>
      <c r="C86" s="630">
        <f>C84-B84</f>
        <v>1.0429047636687656</v>
      </c>
      <c r="D86" s="630">
        <f>D84-C84</f>
        <v>1.0637628589421411</v>
      </c>
      <c r="E86" s="630">
        <f>E84-D84</f>
        <v>1.0850381161209839</v>
      </c>
      <c r="F86" s="630">
        <f>F84-E84</f>
        <v>1.1067388784434016</v>
      </c>
      <c r="G86" s="630">
        <f t="shared" ref="G86:Q86" si="59">G84-F84</f>
        <v>1.1288736560122743</v>
      </c>
      <c r="H86" s="630">
        <f t="shared" si="59"/>
        <v>1.1514511291325178</v>
      </c>
      <c r="I86" s="630">
        <f t="shared" si="59"/>
        <v>1.1744801517151657</v>
      </c>
      <c r="J86" s="630">
        <f t="shared" si="59"/>
        <v>1.1979697547494723</v>
      </c>
      <c r="K86" s="630">
        <f t="shared" si="59"/>
        <v>1.2219291498444633</v>
      </c>
      <c r="L86" s="630">
        <f t="shared" si="59"/>
        <v>1.2463677328413496</v>
      </c>
      <c r="M86" s="630">
        <f t="shared" si="59"/>
        <v>1.2712950874981743</v>
      </c>
      <c r="N86" s="630">
        <f t="shared" si="59"/>
        <v>1.2967209892481435</v>
      </c>
      <c r="O86" s="630">
        <f t="shared" si="59"/>
        <v>1.3226554090331035</v>
      </c>
      <c r="P86" s="630">
        <f t="shared" si="59"/>
        <v>1.3491085172137645</v>
      </c>
      <c r="Q86" s="631">
        <f t="shared" si="59"/>
        <v>1.3760906875580474</v>
      </c>
    </row>
    <row r="87" spans="1:17" x14ac:dyDescent="0.25">
      <c r="A87" s="626"/>
      <c r="Q87" s="632"/>
    </row>
    <row r="88" spans="1:17" x14ac:dyDescent="0.25">
      <c r="A88" s="623" t="s">
        <v>205</v>
      </c>
      <c r="B88" s="624">
        <f>Q53*(1+B75)</f>
        <v>56.234691268297738</v>
      </c>
      <c r="C88" s="624">
        <f>B88*(1+C75)</f>
        <v>57.359385093663697</v>
      </c>
      <c r="D88" s="624">
        <f t="shared" ref="D88:Q88" si="60">C88*(1+D75)</f>
        <v>58.506572795536975</v>
      </c>
      <c r="E88" s="624">
        <f t="shared" si="60"/>
        <v>59.676704251447717</v>
      </c>
      <c r="F88" s="624">
        <f t="shared" si="60"/>
        <v>60.870238336476675</v>
      </c>
      <c r="G88" s="624">
        <f t="shared" si="60"/>
        <v>62.087643103206211</v>
      </c>
      <c r="H88" s="624">
        <f t="shared" si="60"/>
        <v>63.329395965270336</v>
      </c>
      <c r="I88" s="624">
        <f t="shared" si="60"/>
        <v>64.595983884575745</v>
      </c>
      <c r="J88" s="624">
        <f t="shared" si="60"/>
        <v>65.887903562267255</v>
      </c>
      <c r="K88" s="624">
        <f t="shared" si="60"/>
        <v>67.205661633512605</v>
      </c>
      <c r="L88" s="624">
        <f t="shared" si="60"/>
        <v>68.549774866182858</v>
      </c>
      <c r="M88" s="624">
        <f t="shared" si="60"/>
        <v>69.92077036350652</v>
      </c>
      <c r="N88" s="624">
        <f t="shared" si="60"/>
        <v>71.319185770776656</v>
      </c>
      <c r="O88" s="624">
        <f t="shared" si="60"/>
        <v>72.745569486192196</v>
      </c>
      <c r="P88" s="624">
        <f t="shared" si="60"/>
        <v>74.200480875916043</v>
      </c>
      <c r="Q88" s="625">
        <f t="shared" si="60"/>
        <v>75.684490493434367</v>
      </c>
    </row>
    <row r="89" spans="1:17" x14ac:dyDescent="0.25">
      <c r="A89" s="626" t="s">
        <v>673</v>
      </c>
      <c r="B89" s="627">
        <f>B88*2990</f>
        <v>168141.72689221022</v>
      </c>
      <c r="C89" s="627">
        <f t="shared" ref="C89:Q89" si="61">C88*2990</f>
        <v>171504.56143005445</v>
      </c>
      <c r="D89" s="627">
        <f t="shared" si="61"/>
        <v>174934.65265865557</v>
      </c>
      <c r="E89" s="627">
        <f t="shared" si="61"/>
        <v>178433.34571182868</v>
      </c>
      <c r="F89" s="627">
        <f t="shared" si="61"/>
        <v>182002.01262606526</v>
      </c>
      <c r="G89" s="627">
        <f t="shared" si="61"/>
        <v>185642.05287858658</v>
      </c>
      <c r="H89" s="627">
        <f t="shared" si="61"/>
        <v>189354.8939361583</v>
      </c>
      <c r="I89" s="627">
        <f t="shared" si="61"/>
        <v>193141.99181488148</v>
      </c>
      <c r="J89" s="627">
        <f t="shared" si="61"/>
        <v>197004.83165117909</v>
      </c>
      <c r="K89" s="627">
        <f t="shared" si="61"/>
        <v>200944.9282842027</v>
      </c>
      <c r="L89" s="627">
        <f t="shared" si="61"/>
        <v>204963.82684988674</v>
      </c>
      <c r="M89" s="627">
        <f t="shared" si="61"/>
        <v>209063.1033868845</v>
      </c>
      <c r="N89" s="627">
        <f t="shared" si="61"/>
        <v>213244.3654546222</v>
      </c>
      <c r="O89" s="627">
        <f t="shared" si="61"/>
        <v>217509.25276371467</v>
      </c>
      <c r="P89" s="627">
        <f t="shared" si="61"/>
        <v>221859.43781898895</v>
      </c>
      <c r="Q89" s="628">
        <f t="shared" si="61"/>
        <v>226296.62657536875</v>
      </c>
    </row>
    <row r="90" spans="1:17" x14ac:dyDescent="0.25">
      <c r="A90" s="629" t="s">
        <v>674</v>
      </c>
      <c r="B90" s="630">
        <f>B88-Q53</f>
        <v>1.1026410052607432</v>
      </c>
      <c r="C90" s="630">
        <f>C88-B88</f>
        <v>1.1246938253659593</v>
      </c>
      <c r="D90" s="630">
        <f>D88-C88</f>
        <v>1.1471877018732783</v>
      </c>
      <c r="E90" s="630">
        <f>E88-D88</f>
        <v>1.1701314559107416</v>
      </c>
      <c r="F90" s="630">
        <f>F88-E88</f>
        <v>1.1935340850289577</v>
      </c>
      <c r="G90" s="630">
        <f t="shared" ref="G90:Q90" si="62">G88-F88</f>
        <v>1.2174047667295369</v>
      </c>
      <c r="H90" s="630">
        <f t="shared" si="62"/>
        <v>1.2417528620641249</v>
      </c>
      <c r="I90" s="630">
        <f t="shared" si="62"/>
        <v>1.2665879193054081</v>
      </c>
      <c r="J90" s="630">
        <f t="shared" si="62"/>
        <v>1.2919196776915101</v>
      </c>
      <c r="K90" s="630">
        <f t="shared" si="62"/>
        <v>1.3177580712453505</v>
      </c>
      <c r="L90" s="630">
        <f t="shared" si="62"/>
        <v>1.344113232670253</v>
      </c>
      <c r="M90" s="630">
        <f t="shared" si="62"/>
        <v>1.370995497323662</v>
      </c>
      <c r="N90" s="630">
        <f t="shared" si="62"/>
        <v>1.3984154072701358</v>
      </c>
      <c r="O90" s="630">
        <f t="shared" si="62"/>
        <v>1.4263837154155397</v>
      </c>
      <c r="P90" s="630">
        <f t="shared" si="62"/>
        <v>1.454911389723847</v>
      </c>
      <c r="Q90" s="631">
        <f t="shared" si="62"/>
        <v>1.4840096175183248</v>
      </c>
    </row>
    <row r="91" spans="1:17" x14ac:dyDescent="0.25">
      <c r="A91" s="626"/>
      <c r="Q91" s="632"/>
    </row>
    <row r="92" spans="1:17" x14ac:dyDescent="0.25">
      <c r="A92" s="623" t="s">
        <v>676</v>
      </c>
      <c r="B92" s="624">
        <f>Q57*(1+B75)</f>
        <v>59.118038374212453</v>
      </c>
      <c r="C92" s="624">
        <f>B92*(1+C75)</f>
        <v>60.300399141696701</v>
      </c>
      <c r="D92" s="624">
        <f t="shared" ref="D92:Q92" si="63">C92*(1+D75)</f>
        <v>61.506407124530639</v>
      </c>
      <c r="E92" s="624">
        <f t="shared" si="63"/>
        <v>62.736535267021253</v>
      </c>
      <c r="F92" s="624">
        <f t="shared" si="63"/>
        <v>63.991265972361681</v>
      </c>
      <c r="G92" s="624">
        <f t="shared" si="63"/>
        <v>65.271091291808915</v>
      </c>
      <c r="H92" s="624">
        <f t="shared" si="63"/>
        <v>66.576513117645092</v>
      </c>
      <c r="I92" s="624">
        <f t="shared" si="63"/>
        <v>67.908043379997991</v>
      </c>
      <c r="J92" s="624">
        <f t="shared" si="63"/>
        <v>69.266204247597955</v>
      </c>
      <c r="K92" s="624">
        <f t="shared" si="63"/>
        <v>70.651528332549915</v>
      </c>
      <c r="L92" s="624">
        <f t="shared" si="63"/>
        <v>72.064558899200918</v>
      </c>
      <c r="M92" s="624">
        <f t="shared" si="63"/>
        <v>73.505850077184931</v>
      </c>
      <c r="N92" s="624">
        <f t="shared" si="63"/>
        <v>74.97596707872863</v>
      </c>
      <c r="O92" s="624">
        <f t="shared" si="63"/>
        <v>76.475486420303199</v>
      </c>
      <c r="P92" s="624">
        <f t="shared" si="63"/>
        <v>78.004996148709267</v>
      </c>
      <c r="Q92" s="625">
        <f t="shared" si="63"/>
        <v>79.565096071683456</v>
      </c>
    </row>
    <row r="93" spans="1:17" x14ac:dyDescent="0.25">
      <c r="A93" s="626" t="s">
        <v>673</v>
      </c>
      <c r="B93" s="627">
        <f>B92*2990</f>
        <v>176762.93473889524</v>
      </c>
      <c r="C93" s="627">
        <f t="shared" ref="C93:Q93" si="64">C92*2990</f>
        <v>180298.19343367315</v>
      </c>
      <c r="D93" s="627">
        <f t="shared" si="64"/>
        <v>183904.1573023466</v>
      </c>
      <c r="E93" s="627">
        <f t="shared" si="64"/>
        <v>187582.24044839354</v>
      </c>
      <c r="F93" s="627">
        <f t="shared" si="64"/>
        <v>191333.88525736143</v>
      </c>
      <c r="G93" s="627">
        <f t="shared" si="64"/>
        <v>195160.56296250864</v>
      </c>
      <c r="H93" s="627">
        <f t="shared" si="64"/>
        <v>199063.77422175882</v>
      </c>
      <c r="I93" s="627">
        <f t="shared" si="64"/>
        <v>203045.049706194</v>
      </c>
      <c r="J93" s="627">
        <f t="shared" si="64"/>
        <v>207105.95070031789</v>
      </c>
      <c r="K93" s="627">
        <f t="shared" si="64"/>
        <v>211248.06971432426</v>
      </c>
      <c r="L93" s="627">
        <f t="shared" si="64"/>
        <v>215473.03110861074</v>
      </c>
      <c r="M93" s="627">
        <f t="shared" si="64"/>
        <v>219782.49173078293</v>
      </c>
      <c r="N93" s="627">
        <f t="shared" si="64"/>
        <v>224178.1415653986</v>
      </c>
      <c r="O93" s="627">
        <f t="shared" si="64"/>
        <v>228661.70439670657</v>
      </c>
      <c r="P93" s="627">
        <f t="shared" si="64"/>
        <v>233234.9384846407</v>
      </c>
      <c r="Q93" s="628">
        <f t="shared" si="64"/>
        <v>237899.63725433353</v>
      </c>
    </row>
    <row r="94" spans="1:17" x14ac:dyDescent="0.25">
      <c r="A94" s="629" t="s">
        <v>674</v>
      </c>
      <c r="B94" s="630">
        <f>B92-Q57</f>
        <v>1.1591772230237751</v>
      </c>
      <c r="C94" s="630">
        <f>C92-B92</f>
        <v>1.1823607674842478</v>
      </c>
      <c r="D94" s="630">
        <f>D92-C92</f>
        <v>1.2060079828339383</v>
      </c>
      <c r="E94" s="630">
        <f>E92-D92</f>
        <v>1.2301281424906136</v>
      </c>
      <c r="F94" s="630">
        <f>F92-E92</f>
        <v>1.2547307053404282</v>
      </c>
      <c r="G94" s="630">
        <f t="shared" ref="G94:Q94" si="65">G92-F92</f>
        <v>1.2798253194472338</v>
      </c>
      <c r="H94" s="630">
        <f t="shared" si="65"/>
        <v>1.3054218258361772</v>
      </c>
      <c r="I94" s="630">
        <f t="shared" si="65"/>
        <v>1.3315302623528993</v>
      </c>
      <c r="J94" s="630">
        <f t="shared" si="65"/>
        <v>1.3581608675999632</v>
      </c>
      <c r="K94" s="630">
        <f t="shared" si="65"/>
        <v>1.3853240849519608</v>
      </c>
      <c r="L94" s="630">
        <f t="shared" si="65"/>
        <v>1.4130305666510026</v>
      </c>
      <c r="M94" s="630">
        <f t="shared" si="65"/>
        <v>1.441291177984013</v>
      </c>
      <c r="N94" s="630">
        <f t="shared" si="65"/>
        <v>1.4701170015436986</v>
      </c>
      <c r="O94" s="630">
        <f t="shared" si="65"/>
        <v>1.4995193415745689</v>
      </c>
      <c r="P94" s="630">
        <f t="shared" si="65"/>
        <v>1.5295097284060688</v>
      </c>
      <c r="Q94" s="631">
        <f t="shared" si="65"/>
        <v>1.5600999229741888</v>
      </c>
    </row>
    <row r="95" spans="1:17" x14ac:dyDescent="0.25">
      <c r="A95" s="626"/>
      <c r="Q95" s="632"/>
    </row>
    <row r="96" spans="1:17" x14ac:dyDescent="0.25">
      <c r="A96" s="623" t="s">
        <v>677</v>
      </c>
      <c r="B96" s="624">
        <f>Q61*(1+B75)</f>
        <v>67.353480761694385</v>
      </c>
      <c r="C96" s="624">
        <f>B96*(1+C75)</f>
        <v>68.700550376928277</v>
      </c>
      <c r="D96" s="624">
        <f t="shared" ref="D96:Q96" si="66">C96*(1+D75)</f>
        <v>70.074561384466847</v>
      </c>
      <c r="E96" s="624">
        <f t="shared" si="66"/>
        <v>71.476052612156181</v>
      </c>
      <c r="F96" s="624">
        <f t="shared" si="66"/>
        <v>72.905573664399313</v>
      </c>
      <c r="G96" s="624">
        <f t="shared" si="66"/>
        <v>74.363685137687298</v>
      </c>
      <c r="H96" s="624">
        <f t="shared" si="66"/>
        <v>75.850958840441052</v>
      </c>
      <c r="I96" s="624">
        <f t="shared" si="66"/>
        <v>77.367978017249868</v>
      </c>
      <c r="J96" s="624">
        <f t="shared" si="66"/>
        <v>78.915337577594869</v>
      </c>
      <c r="K96" s="624">
        <f t="shared" si="66"/>
        <v>80.493644329146761</v>
      </c>
      <c r="L96" s="624">
        <f t="shared" si="66"/>
        <v>82.103517215729696</v>
      </c>
      <c r="M96" s="624">
        <f t="shared" si="66"/>
        <v>83.745587560044285</v>
      </c>
      <c r="N96" s="624">
        <f t="shared" si="66"/>
        <v>85.420499311245166</v>
      </c>
      <c r="O96" s="624">
        <f t="shared" si="66"/>
        <v>87.128909297470074</v>
      </c>
      <c r="P96" s="624">
        <f t="shared" si="66"/>
        <v>88.871487483419472</v>
      </c>
      <c r="Q96" s="625">
        <f t="shared" si="66"/>
        <v>90.648917233087857</v>
      </c>
    </row>
    <row r="97" spans="1:17" x14ac:dyDescent="0.25">
      <c r="A97" s="626" t="s">
        <v>673</v>
      </c>
      <c r="B97" s="627">
        <f>B96*2080</f>
        <v>140095.23998432432</v>
      </c>
      <c r="C97" s="627">
        <f>C96*2080</f>
        <v>142897.14478401083</v>
      </c>
      <c r="D97" s="627">
        <f t="shared" ref="D97:Q97" si="67">D96*2080</f>
        <v>145755.08767969103</v>
      </c>
      <c r="E97" s="627">
        <f t="shared" si="67"/>
        <v>148670.18943328486</v>
      </c>
      <c r="F97" s="627">
        <f t="shared" si="67"/>
        <v>151643.59322195058</v>
      </c>
      <c r="G97" s="627">
        <f t="shared" si="67"/>
        <v>154676.46508638957</v>
      </c>
      <c r="H97" s="627">
        <f t="shared" si="67"/>
        <v>157769.9943881174</v>
      </c>
      <c r="I97" s="627">
        <f t="shared" si="67"/>
        <v>160925.39427587972</v>
      </c>
      <c r="J97" s="627">
        <f t="shared" si="67"/>
        <v>164143.90216139733</v>
      </c>
      <c r="K97" s="627">
        <f t="shared" si="67"/>
        <v>167426.78020462528</v>
      </c>
      <c r="L97" s="627">
        <f t="shared" si="67"/>
        <v>170775.31580871777</v>
      </c>
      <c r="M97" s="627">
        <f t="shared" si="67"/>
        <v>174190.82212489212</v>
      </c>
      <c r="N97" s="627">
        <f t="shared" si="67"/>
        <v>177674.63856738995</v>
      </c>
      <c r="O97" s="627">
        <f t="shared" si="67"/>
        <v>181228.13133873776</v>
      </c>
      <c r="P97" s="627">
        <f t="shared" si="67"/>
        <v>184852.6939655125</v>
      </c>
      <c r="Q97" s="628">
        <f t="shared" si="67"/>
        <v>188549.74784482273</v>
      </c>
    </row>
    <row r="98" spans="1:17" x14ac:dyDescent="0.25">
      <c r="A98" s="629" t="s">
        <v>674</v>
      </c>
      <c r="B98" s="630">
        <f>B96-Q61</f>
        <v>1.3206564855234149</v>
      </c>
      <c r="C98" s="630">
        <f>C96-B96</f>
        <v>1.3470696152338917</v>
      </c>
      <c r="D98" s="630">
        <f>D96-C96</f>
        <v>1.3740110075385701</v>
      </c>
      <c r="E98" s="630">
        <f>E96-D96</f>
        <v>1.4014912276893341</v>
      </c>
      <c r="F98" s="630">
        <f>F96-E96</f>
        <v>1.4295210522431319</v>
      </c>
      <c r="G98" s="630">
        <f t="shared" ref="G98:Q98" si="68">G96-F96</f>
        <v>1.4581114732879854</v>
      </c>
      <c r="H98" s="630">
        <f t="shared" si="68"/>
        <v>1.4872737027537539</v>
      </c>
      <c r="I98" s="630">
        <f t="shared" si="68"/>
        <v>1.5170191768088159</v>
      </c>
      <c r="J98" s="630">
        <f t="shared" si="68"/>
        <v>1.5473595603450008</v>
      </c>
      <c r="K98" s="630">
        <f t="shared" si="68"/>
        <v>1.5783067515518923</v>
      </c>
      <c r="L98" s="630">
        <f t="shared" si="68"/>
        <v>1.6098728865829344</v>
      </c>
      <c r="M98" s="630">
        <f t="shared" si="68"/>
        <v>1.6420703443145896</v>
      </c>
      <c r="N98" s="630">
        <f t="shared" si="68"/>
        <v>1.6749117512008809</v>
      </c>
      <c r="O98" s="630">
        <f t="shared" si="68"/>
        <v>1.7084099862249076</v>
      </c>
      <c r="P98" s="630">
        <f t="shared" si="68"/>
        <v>1.7425781859493981</v>
      </c>
      <c r="Q98" s="631">
        <f t="shared" si="68"/>
        <v>1.7774297496683857</v>
      </c>
    </row>
    <row r="99" spans="1:17" x14ac:dyDescent="0.25">
      <c r="A99" s="626"/>
      <c r="Q99" s="632"/>
    </row>
    <row r="100" spans="1:17" x14ac:dyDescent="0.25">
      <c r="A100" s="623" t="s">
        <v>210</v>
      </c>
      <c r="B100" s="624">
        <f>Q65*(1+B75)</f>
        <v>87.480374285334477</v>
      </c>
      <c r="C100" s="624">
        <f>B100*(1+C75)</f>
        <v>89.229981771041167</v>
      </c>
      <c r="D100" s="624">
        <f t="shared" ref="D100:Q100" si="69">C100*(1+D75)</f>
        <v>91.014581406461986</v>
      </c>
      <c r="E100" s="624">
        <f t="shared" si="69"/>
        <v>92.834873034591226</v>
      </c>
      <c r="F100" s="624">
        <f t="shared" si="69"/>
        <v>94.691570495283045</v>
      </c>
      <c r="G100" s="624">
        <f t="shared" si="69"/>
        <v>96.585401905188704</v>
      </c>
      <c r="H100" s="624">
        <f t="shared" si="69"/>
        <v>98.517109943292482</v>
      </c>
      <c r="I100" s="624">
        <f t="shared" si="69"/>
        <v>100.48745214215833</v>
      </c>
      <c r="J100" s="624">
        <f t="shared" si="69"/>
        <v>102.4972011850015</v>
      </c>
      <c r="K100" s="624">
        <f t="shared" si="69"/>
        <v>104.54714520870154</v>
      </c>
      <c r="L100" s="624">
        <f t="shared" si="69"/>
        <v>106.63808811287556</v>
      </c>
      <c r="M100" s="624">
        <f t="shared" si="69"/>
        <v>108.77084987513308</v>
      </c>
      <c r="N100" s="624">
        <f t="shared" si="69"/>
        <v>110.94626687263575</v>
      </c>
      <c r="O100" s="624">
        <f t="shared" si="69"/>
        <v>113.16519221008846</v>
      </c>
      <c r="P100" s="624">
        <f t="shared" si="69"/>
        <v>115.42849605429024</v>
      </c>
      <c r="Q100" s="625">
        <f t="shared" si="69"/>
        <v>117.73706597537604</v>
      </c>
    </row>
    <row r="101" spans="1:17" x14ac:dyDescent="0.25">
      <c r="A101" s="626" t="s">
        <v>673</v>
      </c>
      <c r="B101" s="627">
        <f>B100*2080</f>
        <v>181959.17851349572</v>
      </c>
      <c r="C101" s="627">
        <f>C100*2080</f>
        <v>185598.36208376562</v>
      </c>
      <c r="D101" s="627">
        <f t="shared" ref="D101:Q101" si="70">D100*2080</f>
        <v>189310.32932544092</v>
      </c>
      <c r="E101" s="627">
        <f t="shared" si="70"/>
        <v>193096.53591194976</v>
      </c>
      <c r="F101" s="627">
        <f t="shared" si="70"/>
        <v>196958.46663018875</v>
      </c>
      <c r="G101" s="627">
        <f t="shared" si="70"/>
        <v>200897.6359627925</v>
      </c>
      <c r="H101" s="627">
        <f t="shared" si="70"/>
        <v>204915.58868204837</v>
      </c>
      <c r="I101" s="627">
        <f t="shared" si="70"/>
        <v>209013.90045568932</v>
      </c>
      <c r="J101" s="627">
        <f t="shared" si="70"/>
        <v>213194.17846480312</v>
      </c>
      <c r="K101" s="627">
        <f t="shared" si="70"/>
        <v>217458.06203409919</v>
      </c>
      <c r="L101" s="627">
        <f t="shared" si="70"/>
        <v>221807.22327478116</v>
      </c>
      <c r="M101" s="627">
        <f t="shared" si="70"/>
        <v>226243.36774027679</v>
      </c>
      <c r="N101" s="627">
        <f t="shared" si="70"/>
        <v>230768.23509508235</v>
      </c>
      <c r="O101" s="627">
        <f t="shared" si="70"/>
        <v>235383.599796984</v>
      </c>
      <c r="P101" s="627">
        <f t="shared" si="70"/>
        <v>240091.27179292368</v>
      </c>
      <c r="Q101" s="628">
        <f t="shared" si="70"/>
        <v>244893.09722878216</v>
      </c>
    </row>
    <row r="102" spans="1:17" x14ac:dyDescent="0.25">
      <c r="A102" s="629" t="s">
        <v>674</v>
      </c>
      <c r="B102" s="630">
        <f>B100-Q65</f>
        <v>1.7153014565751903</v>
      </c>
      <c r="C102" s="630">
        <f>C100-B100</f>
        <v>1.7496074857066901</v>
      </c>
      <c r="D102" s="630">
        <f>D100-C100</f>
        <v>1.7845996354208182</v>
      </c>
      <c r="E102" s="630">
        <f>E100-D100</f>
        <v>1.8202916281292403</v>
      </c>
      <c r="F102" s="630">
        <f>F100-E100</f>
        <v>1.8566974606918194</v>
      </c>
      <c r="G102" s="630">
        <f t="shared" ref="G102:Q102" si="71">G100-F100</f>
        <v>1.8938314099056583</v>
      </c>
      <c r="H102" s="630">
        <f t="shared" si="71"/>
        <v>1.9317080381037783</v>
      </c>
      <c r="I102" s="630">
        <f t="shared" si="71"/>
        <v>1.9703421988658505</v>
      </c>
      <c r="J102" s="630">
        <f t="shared" si="71"/>
        <v>2.0097490428431684</v>
      </c>
      <c r="K102" s="630">
        <f t="shared" si="71"/>
        <v>2.0499440237000357</v>
      </c>
      <c r="L102" s="630">
        <f t="shared" si="71"/>
        <v>2.0909429041740282</v>
      </c>
      <c r="M102" s="630">
        <f t="shared" si="71"/>
        <v>2.1327617622575161</v>
      </c>
      <c r="N102" s="630">
        <f t="shared" si="71"/>
        <v>2.1754169975026656</v>
      </c>
      <c r="O102" s="630">
        <f t="shared" si="71"/>
        <v>2.2189253374527169</v>
      </c>
      <c r="P102" s="630">
        <f t="shared" si="71"/>
        <v>2.2633038442017721</v>
      </c>
      <c r="Q102" s="631">
        <f t="shared" si="71"/>
        <v>2.3085699210858053</v>
      </c>
    </row>
    <row r="103" spans="1:17" x14ac:dyDescent="0.25">
      <c r="A103" s="626"/>
      <c r="Q103" s="632"/>
    </row>
    <row r="104" spans="1:17" x14ac:dyDescent="0.25">
      <c r="A104" s="623" t="s">
        <v>678</v>
      </c>
      <c r="B104" s="624">
        <f>Q69*(1+B75)</f>
        <v>152.59125174242857</v>
      </c>
      <c r="C104" s="624">
        <f>B104*(1+C75)</f>
        <v>155.64307677727714</v>
      </c>
      <c r="D104" s="624">
        <f t="shared" ref="D104:Q104" si="72">C104*(1+D75)</f>
        <v>158.75593831282268</v>
      </c>
      <c r="E104" s="624">
        <f t="shared" si="72"/>
        <v>161.93105707907912</v>
      </c>
      <c r="F104" s="624">
        <f t="shared" si="72"/>
        <v>165.1696782206607</v>
      </c>
      <c r="G104" s="624">
        <f t="shared" si="72"/>
        <v>168.47307178507393</v>
      </c>
      <c r="H104" s="624">
        <f t="shared" si="72"/>
        <v>171.84253322077541</v>
      </c>
      <c r="I104" s="624">
        <f t="shared" si="72"/>
        <v>175.27938388519092</v>
      </c>
      <c r="J104" s="624">
        <f t="shared" si="72"/>
        <v>178.78497156289475</v>
      </c>
      <c r="K104" s="624">
        <f t="shared" si="72"/>
        <v>182.36067099415266</v>
      </c>
      <c r="L104" s="624">
        <f t="shared" si="72"/>
        <v>186.00788441403571</v>
      </c>
      <c r="M104" s="624">
        <f t="shared" si="72"/>
        <v>189.72804210231644</v>
      </c>
      <c r="N104" s="624">
        <f t="shared" si="72"/>
        <v>193.52260294436277</v>
      </c>
      <c r="O104" s="624">
        <f t="shared" si="72"/>
        <v>197.39305500325003</v>
      </c>
      <c r="P104" s="624">
        <f t="shared" si="72"/>
        <v>201.34091610331504</v>
      </c>
      <c r="Q104" s="625">
        <f t="shared" si="72"/>
        <v>205.36773442538134</v>
      </c>
    </row>
    <row r="105" spans="1:17" x14ac:dyDescent="0.25">
      <c r="A105" s="626" t="s">
        <v>673</v>
      </c>
      <c r="B105" s="627">
        <f>B104*2080</f>
        <v>317389.80362425145</v>
      </c>
      <c r="C105" s="627">
        <f>C104*2080</f>
        <v>323737.59969673643</v>
      </c>
      <c r="D105" s="627">
        <f t="shared" ref="D105:Q105" si="73">D104*2080</f>
        <v>330212.35169067117</v>
      </c>
      <c r="E105" s="627">
        <f t="shared" si="73"/>
        <v>336816.59872448456</v>
      </c>
      <c r="F105" s="627">
        <f t="shared" si="73"/>
        <v>343552.93069897423</v>
      </c>
      <c r="G105" s="627">
        <f t="shared" si="73"/>
        <v>350423.98931295378</v>
      </c>
      <c r="H105" s="627">
        <f t="shared" si="73"/>
        <v>357432.46909921285</v>
      </c>
      <c r="I105" s="627">
        <f t="shared" si="73"/>
        <v>364581.1184811971</v>
      </c>
      <c r="J105" s="627">
        <f t="shared" si="73"/>
        <v>371872.74085082108</v>
      </c>
      <c r="K105" s="627">
        <f t="shared" si="73"/>
        <v>379310.19566783751</v>
      </c>
      <c r="L105" s="627">
        <f t="shared" si="73"/>
        <v>386896.39958119427</v>
      </c>
      <c r="M105" s="627">
        <f t="shared" si="73"/>
        <v>394634.32757281821</v>
      </c>
      <c r="N105" s="627">
        <f t="shared" si="73"/>
        <v>402527.01412427454</v>
      </c>
      <c r="O105" s="627">
        <f t="shared" si="73"/>
        <v>410577.55440676003</v>
      </c>
      <c r="P105" s="627">
        <f t="shared" si="73"/>
        <v>418789.10549489525</v>
      </c>
      <c r="Q105" s="628">
        <f t="shared" si="73"/>
        <v>427164.88760479318</v>
      </c>
    </row>
    <row r="106" spans="1:17" ht="15.75" thickBot="1" x14ac:dyDescent="0.3">
      <c r="A106" s="633" t="s">
        <v>674</v>
      </c>
      <c r="B106" s="634">
        <f>B104-Q69</f>
        <v>2.9919853282829081</v>
      </c>
      <c r="C106" s="634">
        <f>C104-B104</f>
        <v>3.0518250348485765</v>
      </c>
      <c r="D106" s="634">
        <f>D104-C104</f>
        <v>3.1128615355455338</v>
      </c>
      <c r="E106" s="634">
        <f>E104-D104</f>
        <v>3.1751187662564462</v>
      </c>
      <c r="F106" s="634">
        <f>F104-E104</f>
        <v>3.2386211415815751</v>
      </c>
      <c r="G106" s="634">
        <f t="shared" ref="G106:Q106" si="74">G104-F104</f>
        <v>3.3033935644132271</v>
      </c>
      <c r="H106" s="634">
        <f t="shared" si="74"/>
        <v>3.3694614357014814</v>
      </c>
      <c r="I106" s="634">
        <f t="shared" si="74"/>
        <v>3.4368506644155161</v>
      </c>
      <c r="J106" s="634">
        <f t="shared" si="74"/>
        <v>3.5055876777038293</v>
      </c>
      <c r="K106" s="634">
        <f t="shared" si="74"/>
        <v>3.5756994312579025</v>
      </c>
      <c r="L106" s="634">
        <f t="shared" si="74"/>
        <v>3.6472134198830588</v>
      </c>
      <c r="M106" s="634">
        <f t="shared" si="74"/>
        <v>3.7201576882807217</v>
      </c>
      <c r="N106" s="634">
        <f t="shared" si="74"/>
        <v>3.7945608420463373</v>
      </c>
      <c r="O106" s="634">
        <f t="shared" si="74"/>
        <v>3.8704520588872526</v>
      </c>
      <c r="P106" s="634">
        <f t="shared" si="74"/>
        <v>3.9478611000650119</v>
      </c>
      <c r="Q106" s="635">
        <f t="shared" si="74"/>
        <v>4.0268183220663047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71" fitToHeight="0" orientation="landscape" r:id="rId1"/>
  <rowBreaks count="2" manualBreakCount="2">
    <brk id="37" max="16383" man="1"/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16" ht="30" customHeight="1" x14ac:dyDescent="0.2">
      <c r="A1" s="691" t="s">
        <v>680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105"/>
      <c r="O1" s="105"/>
      <c r="P1" s="105"/>
    </row>
    <row r="2" spans="1:16" ht="9.75" hidden="1" customHeight="1" x14ac:dyDescent="0.2">
      <c r="A2" s="106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23.25" customHeight="1" x14ac:dyDescent="0.25">
      <c r="A3" s="692" t="s">
        <v>34</v>
      </c>
      <c r="B3" s="693"/>
      <c r="C3" s="693"/>
      <c r="D3" s="365" t="s">
        <v>208</v>
      </c>
      <c r="E3" s="366" t="e">
        <f>#REF!</f>
        <v>#REF!</v>
      </c>
      <c r="F3" s="365" t="s">
        <v>459</v>
      </c>
      <c r="G3" s="366" t="e">
        <f>#REF!</f>
        <v>#REF!</v>
      </c>
      <c r="H3" s="365" t="s">
        <v>206</v>
      </c>
      <c r="I3" s="366" t="e">
        <f>#REF!</f>
        <v>#REF!</v>
      </c>
      <c r="J3" s="365" t="s">
        <v>205</v>
      </c>
      <c r="K3" s="366" t="e">
        <f>#REF!</f>
        <v>#REF!</v>
      </c>
      <c r="L3" s="365" t="s">
        <v>516</v>
      </c>
      <c r="M3" s="366" t="e">
        <f>#REF!</f>
        <v>#REF!</v>
      </c>
      <c r="O3" s="105"/>
      <c r="P3" s="105"/>
    </row>
    <row r="4" spans="1:16" ht="9.75" customHeight="1" x14ac:dyDescent="0.2">
      <c r="A4" s="10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13.5" thickBot="1" x14ac:dyDescent="0.2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6" ht="19.5" customHeight="1" x14ac:dyDescent="0.2">
      <c r="A6" s="109" t="s">
        <v>35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  <c r="M6" s="112"/>
    </row>
    <row r="7" spans="1:16" ht="19.5" customHeight="1" x14ac:dyDescent="0.2">
      <c r="A7" s="113"/>
      <c r="B7" s="114"/>
      <c r="C7" s="115" t="s">
        <v>277</v>
      </c>
      <c r="D7" s="116">
        <v>1</v>
      </c>
      <c r="E7" s="116">
        <v>2</v>
      </c>
      <c r="F7" s="116">
        <v>3</v>
      </c>
      <c r="G7" s="116">
        <v>4</v>
      </c>
      <c r="H7" s="116">
        <v>5</v>
      </c>
      <c r="I7" s="116">
        <v>6</v>
      </c>
      <c r="J7" s="116">
        <v>7</v>
      </c>
      <c r="K7" s="116">
        <v>8</v>
      </c>
      <c r="L7" s="385">
        <v>9</v>
      </c>
      <c r="M7" s="117">
        <v>10</v>
      </c>
    </row>
    <row r="8" spans="1:16" ht="19.5" customHeight="1" x14ac:dyDescent="0.2">
      <c r="A8" s="113"/>
      <c r="B8" s="118" t="s">
        <v>36</v>
      </c>
      <c r="C8" s="119"/>
      <c r="D8" s="120"/>
      <c r="E8" s="121"/>
      <c r="F8" s="121"/>
      <c r="G8" s="121"/>
      <c r="H8" s="121"/>
      <c r="I8" s="121"/>
      <c r="J8" s="121"/>
      <c r="K8" s="121"/>
      <c r="L8" s="121"/>
      <c r="M8" s="122"/>
    </row>
    <row r="9" spans="1:16" ht="19.5" customHeight="1" x14ac:dyDescent="0.2">
      <c r="A9" s="113"/>
      <c r="B9" s="114"/>
      <c r="C9" s="123" t="s">
        <v>37</v>
      </c>
      <c r="D9" s="124">
        <v>0.25</v>
      </c>
      <c r="E9" s="124">
        <v>0.25</v>
      </c>
      <c r="F9" s="124">
        <v>0.25</v>
      </c>
      <c r="G9" s="124">
        <v>0.25</v>
      </c>
      <c r="H9" s="124">
        <v>0.25</v>
      </c>
      <c r="I9" s="124">
        <v>0.25</v>
      </c>
      <c r="J9" s="124">
        <v>0.25</v>
      </c>
      <c r="K9" s="124">
        <v>0.25</v>
      </c>
      <c r="L9" s="124">
        <v>0.25</v>
      </c>
      <c r="M9" s="125">
        <v>0.25</v>
      </c>
    </row>
    <row r="10" spans="1:16" ht="19.5" customHeight="1" x14ac:dyDescent="0.2">
      <c r="A10" s="113"/>
      <c r="B10" s="114"/>
      <c r="C10" s="123" t="s">
        <v>38</v>
      </c>
      <c r="D10" s="124">
        <v>0.25</v>
      </c>
      <c r="E10" s="124">
        <f t="shared" ref="E10:M10" si="0">+D10+E9</f>
        <v>0.5</v>
      </c>
      <c r="F10" s="124">
        <f t="shared" si="0"/>
        <v>0.75</v>
      </c>
      <c r="G10" s="124">
        <f t="shared" si="0"/>
        <v>1</v>
      </c>
      <c r="H10" s="124">
        <f t="shared" si="0"/>
        <v>1.25</v>
      </c>
      <c r="I10" s="124">
        <f t="shared" si="0"/>
        <v>1.5</v>
      </c>
      <c r="J10" s="124">
        <f t="shared" si="0"/>
        <v>1.75</v>
      </c>
      <c r="K10" s="124">
        <f t="shared" si="0"/>
        <v>2</v>
      </c>
      <c r="L10" s="124">
        <f t="shared" si="0"/>
        <v>2.25</v>
      </c>
      <c r="M10" s="125">
        <f t="shared" si="0"/>
        <v>2.5</v>
      </c>
    </row>
    <row r="12" spans="1:16" ht="13.5" thickBot="1" x14ac:dyDescent="0.25"/>
    <row r="13" spans="1:16" ht="19.5" customHeight="1" x14ac:dyDescent="0.2">
      <c r="A13" s="109" t="s">
        <v>35</v>
      </c>
      <c r="B13" s="110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2"/>
    </row>
    <row r="14" spans="1:16" ht="19.5" customHeight="1" x14ac:dyDescent="0.2">
      <c r="A14" s="113"/>
      <c r="B14" s="114"/>
      <c r="C14" s="115" t="s">
        <v>277</v>
      </c>
      <c r="D14" s="116">
        <v>11</v>
      </c>
      <c r="E14" s="116">
        <v>12</v>
      </c>
      <c r="F14" s="116">
        <v>13</v>
      </c>
      <c r="G14" s="116">
        <v>14</v>
      </c>
      <c r="H14" s="116">
        <v>15</v>
      </c>
      <c r="I14" s="116">
        <v>16</v>
      </c>
      <c r="J14" s="116">
        <v>17</v>
      </c>
      <c r="K14" s="116">
        <v>18</v>
      </c>
      <c r="L14" s="385">
        <v>19</v>
      </c>
      <c r="M14" s="117">
        <v>20</v>
      </c>
    </row>
    <row r="15" spans="1:16" ht="19.5" customHeight="1" x14ac:dyDescent="0.2">
      <c r="A15" s="113"/>
      <c r="B15" s="118" t="s">
        <v>36</v>
      </c>
      <c r="C15" s="118"/>
      <c r="D15" s="121"/>
      <c r="E15" s="126"/>
      <c r="F15" s="121"/>
      <c r="G15" s="121"/>
      <c r="H15" s="121"/>
      <c r="I15" s="121"/>
      <c r="J15" s="121"/>
      <c r="K15" s="121"/>
      <c r="L15" s="121"/>
      <c r="M15" s="122"/>
    </row>
    <row r="16" spans="1:16" ht="19.5" customHeight="1" x14ac:dyDescent="0.2">
      <c r="A16" s="113"/>
      <c r="B16" s="114"/>
      <c r="C16" s="123" t="s">
        <v>37</v>
      </c>
      <c r="D16" s="124">
        <v>0.25</v>
      </c>
      <c r="E16" s="124">
        <v>0.25</v>
      </c>
      <c r="F16" s="124">
        <v>0.25</v>
      </c>
      <c r="G16" s="124">
        <v>0.25</v>
      </c>
      <c r="H16" s="124">
        <v>0.25</v>
      </c>
      <c r="I16" s="124">
        <v>0.25</v>
      </c>
      <c r="J16" s="124">
        <v>0.25</v>
      </c>
      <c r="K16" s="124">
        <v>0.25</v>
      </c>
      <c r="L16" s="124">
        <v>0.25</v>
      </c>
      <c r="M16" s="125">
        <v>0.25</v>
      </c>
    </row>
    <row r="17" spans="1:13" ht="19.5" customHeight="1" x14ac:dyDescent="0.2">
      <c r="A17" s="113"/>
      <c r="B17" s="114"/>
      <c r="C17" s="123" t="s">
        <v>38</v>
      </c>
      <c r="D17" s="124">
        <f>+M10+D16</f>
        <v>2.75</v>
      </c>
      <c r="E17" s="127">
        <f t="shared" ref="E17:M17" si="1">+D17+E16</f>
        <v>3</v>
      </c>
      <c r="F17" s="127">
        <f t="shared" si="1"/>
        <v>3.25</v>
      </c>
      <c r="G17" s="127">
        <f t="shared" si="1"/>
        <v>3.5</v>
      </c>
      <c r="H17" s="127">
        <f t="shared" si="1"/>
        <v>3.75</v>
      </c>
      <c r="I17" s="127">
        <f t="shared" si="1"/>
        <v>4</v>
      </c>
      <c r="J17" s="127">
        <f t="shared" si="1"/>
        <v>4.25</v>
      </c>
      <c r="K17" s="127">
        <f t="shared" si="1"/>
        <v>4.5</v>
      </c>
      <c r="L17" s="127">
        <f t="shared" si="1"/>
        <v>4.75</v>
      </c>
      <c r="M17" s="125">
        <f t="shared" si="1"/>
        <v>5</v>
      </c>
    </row>
    <row r="19" spans="1:13" ht="13.5" thickBot="1" x14ac:dyDescent="0.25"/>
    <row r="20" spans="1:13" ht="19.5" customHeight="1" x14ac:dyDescent="0.2">
      <c r="A20" s="109" t="s">
        <v>35</v>
      </c>
      <c r="B20" s="110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2"/>
    </row>
    <row r="21" spans="1:13" ht="19.5" customHeight="1" x14ac:dyDescent="0.2">
      <c r="A21" s="113"/>
      <c r="B21" s="114"/>
      <c r="C21" s="115" t="s">
        <v>277</v>
      </c>
      <c r="D21" s="116">
        <v>21</v>
      </c>
      <c r="E21" s="116">
        <v>22</v>
      </c>
      <c r="F21" s="116">
        <v>23</v>
      </c>
      <c r="G21" s="116">
        <v>24</v>
      </c>
      <c r="H21" s="116">
        <v>25</v>
      </c>
      <c r="I21" s="116">
        <v>26</v>
      </c>
      <c r="J21" s="116">
        <v>27</v>
      </c>
      <c r="K21" s="116">
        <v>28</v>
      </c>
      <c r="L21" s="385">
        <v>29</v>
      </c>
      <c r="M21" s="117">
        <v>30</v>
      </c>
    </row>
    <row r="22" spans="1:13" ht="19.5" customHeight="1" x14ac:dyDescent="0.2">
      <c r="A22" s="113"/>
      <c r="B22" s="118" t="s">
        <v>36</v>
      </c>
      <c r="C22" s="118"/>
      <c r="D22" s="121"/>
      <c r="E22" s="126"/>
      <c r="F22" s="121"/>
      <c r="G22" s="121"/>
      <c r="H22" s="121"/>
      <c r="I22" s="121"/>
      <c r="J22" s="121"/>
      <c r="K22" s="121"/>
      <c r="L22" s="121"/>
      <c r="M22" s="122"/>
    </row>
    <row r="23" spans="1:13" ht="19.5" customHeight="1" x14ac:dyDescent="0.2">
      <c r="A23" s="113"/>
      <c r="B23" s="114"/>
      <c r="C23" s="123" t="s">
        <v>37</v>
      </c>
      <c r="D23" s="124">
        <v>0.25</v>
      </c>
      <c r="E23" s="124">
        <v>0.25</v>
      </c>
      <c r="F23" s="124">
        <v>0.25</v>
      </c>
      <c r="G23" s="124">
        <v>0.25</v>
      </c>
      <c r="H23" s="124">
        <v>0.25</v>
      </c>
      <c r="I23" s="124">
        <v>0.25</v>
      </c>
      <c r="J23" s="124">
        <v>0.25</v>
      </c>
      <c r="K23" s="124">
        <v>0.25</v>
      </c>
      <c r="L23" s="124">
        <v>0.25</v>
      </c>
      <c r="M23" s="124">
        <v>0.25</v>
      </c>
    </row>
    <row r="24" spans="1:13" ht="19.5" customHeight="1" x14ac:dyDescent="0.2">
      <c r="A24" s="113"/>
      <c r="B24" s="114"/>
      <c r="C24" s="123" t="s">
        <v>38</v>
      </c>
      <c r="D24" s="124">
        <f>+M17+D23</f>
        <v>5.25</v>
      </c>
      <c r="E24" s="124">
        <f t="shared" ref="E24:L24" si="2">+D24+E23</f>
        <v>5.5</v>
      </c>
      <c r="F24" s="124">
        <f t="shared" si="2"/>
        <v>5.75</v>
      </c>
      <c r="G24" s="124">
        <f t="shared" si="2"/>
        <v>6</v>
      </c>
      <c r="H24" s="124">
        <f t="shared" si="2"/>
        <v>6.25</v>
      </c>
      <c r="I24" s="124">
        <f t="shared" si="2"/>
        <v>6.5</v>
      </c>
      <c r="J24" s="124">
        <f t="shared" si="2"/>
        <v>6.75</v>
      </c>
      <c r="K24" s="124">
        <f t="shared" si="2"/>
        <v>7</v>
      </c>
      <c r="L24" s="124">
        <f t="shared" si="2"/>
        <v>7.25</v>
      </c>
      <c r="M24" s="125">
        <f>+L24+M23</f>
        <v>7.5</v>
      </c>
    </row>
    <row r="26" spans="1:13" ht="13.5" thickBot="1" x14ac:dyDescent="0.25"/>
    <row r="27" spans="1:13" ht="19.5" customHeight="1" x14ac:dyDescent="0.2">
      <c r="A27" s="109" t="s">
        <v>35</v>
      </c>
      <c r="B27" s="110"/>
      <c r="C27" s="110"/>
      <c r="D27" s="111"/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3" ht="19.5" customHeight="1" x14ac:dyDescent="0.2">
      <c r="A28" s="113"/>
      <c r="B28" s="114"/>
      <c r="C28" s="115" t="s">
        <v>277</v>
      </c>
      <c r="D28" s="116">
        <v>31</v>
      </c>
      <c r="E28" s="116">
        <v>32</v>
      </c>
      <c r="F28" s="116">
        <v>33</v>
      </c>
      <c r="G28" s="116">
        <v>34</v>
      </c>
      <c r="H28" s="116">
        <v>35</v>
      </c>
      <c r="I28" s="116">
        <v>36</v>
      </c>
      <c r="J28" s="116">
        <v>37</v>
      </c>
      <c r="K28" s="116">
        <v>38</v>
      </c>
      <c r="L28" s="385">
        <v>39</v>
      </c>
      <c r="M28" s="117">
        <v>40</v>
      </c>
    </row>
    <row r="29" spans="1:13" ht="19.5" customHeight="1" x14ac:dyDescent="0.2">
      <c r="A29" s="113"/>
      <c r="B29" s="118" t="s">
        <v>36</v>
      </c>
      <c r="C29" s="118"/>
      <c r="D29" s="121"/>
      <c r="E29" s="126"/>
      <c r="F29" s="121"/>
      <c r="G29" s="121"/>
      <c r="H29" s="121"/>
      <c r="I29" s="121"/>
      <c r="J29" s="121"/>
      <c r="K29" s="121"/>
      <c r="L29" s="121"/>
      <c r="M29" s="122"/>
    </row>
    <row r="30" spans="1:13" ht="19.5" customHeight="1" x14ac:dyDescent="0.2">
      <c r="A30" s="113"/>
      <c r="B30" s="114"/>
      <c r="C30" s="123" t="s">
        <v>37</v>
      </c>
      <c r="D30" s="124">
        <v>0.25</v>
      </c>
      <c r="E30" s="124">
        <v>0.25</v>
      </c>
      <c r="F30" s="124">
        <v>0.25</v>
      </c>
      <c r="G30" s="124">
        <v>0.25</v>
      </c>
      <c r="H30" s="124">
        <v>0.25</v>
      </c>
      <c r="I30" s="124">
        <v>0.25</v>
      </c>
      <c r="J30" s="124">
        <v>0.25</v>
      </c>
      <c r="K30" s="124">
        <v>0.25</v>
      </c>
      <c r="L30" s="124">
        <v>0.25</v>
      </c>
      <c r="M30" s="124">
        <v>0.25</v>
      </c>
    </row>
    <row r="31" spans="1:13" ht="19.5" customHeight="1" x14ac:dyDescent="0.2">
      <c r="A31" s="113"/>
      <c r="B31" s="114"/>
      <c r="C31" s="123" t="s">
        <v>38</v>
      </c>
      <c r="D31" s="124">
        <f>+M24+D30</f>
        <v>7.75</v>
      </c>
      <c r="E31" s="124">
        <f t="shared" ref="E31:M31" si="3">+D31+E30</f>
        <v>8</v>
      </c>
      <c r="F31" s="124">
        <f t="shared" si="3"/>
        <v>8.25</v>
      </c>
      <c r="G31" s="124">
        <f t="shared" si="3"/>
        <v>8.5</v>
      </c>
      <c r="H31" s="124">
        <f t="shared" si="3"/>
        <v>8.75</v>
      </c>
      <c r="I31" s="124">
        <f t="shared" si="3"/>
        <v>9</v>
      </c>
      <c r="J31" s="124">
        <f t="shared" si="3"/>
        <v>9.25</v>
      </c>
      <c r="K31" s="124">
        <f t="shared" si="3"/>
        <v>9.5</v>
      </c>
      <c r="L31" s="124">
        <f t="shared" si="3"/>
        <v>9.75</v>
      </c>
      <c r="M31" s="125">
        <f t="shared" si="3"/>
        <v>10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30"/>
  <sheetViews>
    <sheetView topLeftCell="A2" zoomScaleNormal="100" workbookViewId="0">
      <selection activeCell="A2" sqref="A2"/>
    </sheetView>
  </sheetViews>
  <sheetFormatPr defaultColWidth="10.42578125" defaultRowHeight="12.75" x14ac:dyDescent="0.2"/>
  <cols>
    <col min="1" max="1" width="28.140625" style="129" bestFit="1" customWidth="1"/>
    <col min="2" max="2" width="21.140625" style="129" bestFit="1" customWidth="1"/>
    <col min="3" max="3" width="23.28515625" style="129" bestFit="1" customWidth="1"/>
    <col min="4" max="16" width="9.42578125" style="129" customWidth="1"/>
    <col min="17" max="16384" width="10.42578125" style="129"/>
  </cols>
  <sheetData>
    <row r="1" spans="1:17" hidden="1" x14ac:dyDescent="0.2">
      <c r="J1" s="130"/>
      <c r="O1" s="131"/>
      <c r="P1" s="132"/>
    </row>
    <row r="2" spans="1:17" s="133" customFormat="1" ht="24.95" customHeight="1" x14ac:dyDescent="0.25">
      <c r="A2" s="383" t="s">
        <v>24</v>
      </c>
      <c r="B2" s="383" t="s">
        <v>530</v>
      </c>
      <c r="C2" s="383" t="s">
        <v>531</v>
      </c>
      <c r="D2"/>
      <c r="E2"/>
      <c r="F2"/>
      <c r="O2" s="134"/>
      <c r="P2" s="135"/>
      <c r="Q2" s="134"/>
    </row>
    <row r="3" spans="1:17" ht="24.75" customHeight="1" x14ac:dyDescent="0.2">
      <c r="A3" s="384" t="s">
        <v>25</v>
      </c>
      <c r="B3" s="391">
        <f>(75*12)/2756</f>
        <v>0.32656023222060959</v>
      </c>
      <c r="C3" s="391">
        <f>(75*12)/2080+0.01</f>
        <v>0.44269230769230772</v>
      </c>
      <c r="D3"/>
      <c r="E3"/>
      <c r="F3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</row>
    <row r="4" spans="1:17" ht="24.95" hidden="1" customHeight="1" x14ac:dyDescent="0.2">
      <c r="A4" s="384" t="s">
        <v>26</v>
      </c>
      <c r="B4" s="391">
        <v>50</v>
      </c>
      <c r="C4" s="391">
        <v>51</v>
      </c>
      <c r="D4"/>
      <c r="E4"/>
      <c r="F4"/>
      <c r="G4"/>
      <c r="H4" s="136"/>
      <c r="I4" s="136"/>
      <c r="J4" s="136"/>
      <c r="K4" s="136"/>
      <c r="L4" s="136"/>
      <c r="M4" s="136"/>
      <c r="N4" s="136"/>
      <c r="O4" s="136"/>
      <c r="P4" s="136"/>
      <c r="Q4" s="137"/>
    </row>
    <row r="5" spans="1:17" ht="24.95" customHeight="1" x14ac:dyDescent="0.2">
      <c r="A5" s="384" t="s">
        <v>526</v>
      </c>
      <c r="B5" s="391">
        <f>(75*12)/2756</f>
        <v>0.32656023222060959</v>
      </c>
      <c r="C5" s="391">
        <f>(75*12)/2080+0.01</f>
        <v>0.44269230769230772</v>
      </c>
      <c r="D5"/>
      <c r="E5"/>
      <c r="F5" s="390"/>
      <c r="G5" s="390"/>
      <c r="H5" s="136"/>
      <c r="I5" s="136"/>
      <c r="J5" s="136"/>
      <c r="K5" s="136"/>
      <c r="L5" s="136"/>
      <c r="M5" s="136"/>
      <c r="N5" s="136"/>
      <c r="O5" s="136"/>
      <c r="P5" s="136"/>
      <c r="Q5" s="137"/>
    </row>
    <row r="6" spans="1:17" ht="24.95" customHeight="1" x14ac:dyDescent="0.2">
      <c r="A6" s="384" t="s">
        <v>527</v>
      </c>
      <c r="B6" s="391">
        <f>(100*12)/2756</f>
        <v>0.43541364296081275</v>
      </c>
      <c r="C6" s="391">
        <f>(100*12)/2080</f>
        <v>0.57692307692307687</v>
      </c>
      <c r="D6"/>
      <c r="E6"/>
      <c r="F6" s="390"/>
      <c r="G6" s="390"/>
      <c r="H6" s="136"/>
      <c r="I6" s="136"/>
      <c r="J6" s="136"/>
      <c r="K6" s="136"/>
      <c r="L6" s="136"/>
      <c r="M6" s="136"/>
      <c r="N6" s="136"/>
      <c r="O6" s="136"/>
      <c r="P6" s="136"/>
      <c r="Q6" s="137"/>
    </row>
    <row r="7" spans="1:17" ht="24.95" customHeight="1" x14ac:dyDescent="0.2">
      <c r="A7" s="384" t="s">
        <v>528</v>
      </c>
      <c r="B7" s="391">
        <f>(125*12)/2756+0.01</f>
        <v>0.55426705370101592</v>
      </c>
      <c r="C7" s="391">
        <f>(125*12)/2080+0.01</f>
        <v>0.73115384615384615</v>
      </c>
      <c r="D7"/>
      <c r="E7"/>
      <c r="F7" s="390"/>
      <c r="G7" s="390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17" ht="24.95" customHeight="1" x14ac:dyDescent="0.2">
      <c r="A8" s="384" t="s">
        <v>556</v>
      </c>
      <c r="B8" s="391">
        <f>(150*12)/2756+0.01</f>
        <v>0.66312046444121919</v>
      </c>
      <c r="C8" s="391">
        <f>(150*12)/2080</f>
        <v>0.86538461538461542</v>
      </c>
      <c r="D8"/>
      <c r="E8"/>
      <c r="F8" s="390"/>
      <c r="G8" s="390"/>
      <c r="H8" s="136"/>
      <c r="I8" s="136"/>
      <c r="J8" s="136"/>
      <c r="K8" s="136"/>
      <c r="L8" s="136"/>
      <c r="M8" s="136"/>
      <c r="N8" s="136"/>
      <c r="O8" s="136"/>
      <c r="P8" s="136"/>
      <c r="Q8" s="137"/>
    </row>
    <row r="9" spans="1:17" ht="24.95" customHeight="1" x14ac:dyDescent="0.2">
      <c r="A9" s="384" t="s">
        <v>535</v>
      </c>
      <c r="B9" s="391">
        <f>(175*12)/2756+0.01</f>
        <v>0.77197387518142235</v>
      </c>
      <c r="C9" s="391">
        <f>(175*12)/2080</f>
        <v>1.0096153846153846</v>
      </c>
      <c r="D9"/>
      <c r="E9"/>
      <c r="F9" s="390"/>
      <c r="G9" s="390"/>
      <c r="H9" s="136"/>
      <c r="I9" s="136"/>
      <c r="J9" s="136"/>
      <c r="K9" s="136"/>
      <c r="L9" s="136"/>
      <c r="M9" s="136"/>
      <c r="N9" s="136"/>
      <c r="O9" s="136"/>
      <c r="P9" s="136"/>
      <c r="Q9" s="137"/>
    </row>
    <row r="10" spans="1:17" ht="24.95" customHeight="1" x14ac:dyDescent="0.2">
      <c r="A10" s="384" t="s">
        <v>529</v>
      </c>
      <c r="B10" s="391">
        <f>(200*12)/2756+0.01</f>
        <v>0.88082728592162551</v>
      </c>
      <c r="C10" s="391">
        <f>(200*12)/2080+0.01</f>
        <v>1.1638461538461538</v>
      </c>
      <c r="D10"/>
      <c r="E10"/>
      <c r="F10" s="390"/>
      <c r="G10" s="390"/>
      <c r="H10" s="136"/>
      <c r="I10" s="136"/>
      <c r="J10" s="136"/>
      <c r="K10" s="136"/>
      <c r="L10" s="136"/>
      <c r="M10" s="136"/>
      <c r="N10" s="136"/>
      <c r="O10" s="136"/>
      <c r="P10" s="136"/>
      <c r="Q10" s="137"/>
    </row>
    <row r="11" spans="1:17" ht="24.95" customHeight="1" x14ac:dyDescent="0.2">
      <c r="A11" s="384" t="s">
        <v>27</v>
      </c>
      <c r="B11" s="391">
        <f>(75*12)/2756</f>
        <v>0.32656023222060959</v>
      </c>
      <c r="C11" s="391">
        <f>(75*12)/2080+0.01</f>
        <v>0.44269230769230772</v>
      </c>
      <c r="D11"/>
      <c r="E11"/>
      <c r="F11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7"/>
    </row>
    <row r="12" spans="1:17" ht="24.75" customHeight="1" x14ac:dyDescent="0.2">
      <c r="A12" s="384" t="s">
        <v>28</v>
      </c>
      <c r="B12" s="391">
        <f>(75*12)/2756</f>
        <v>0.32656023222060959</v>
      </c>
      <c r="C12" s="391">
        <f>(75*12)/2080+0.01</f>
        <v>0.44269230769230772</v>
      </c>
      <c r="D12"/>
      <c r="E12"/>
      <c r="F12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</row>
    <row r="13" spans="1:17" ht="24.95" customHeight="1" x14ac:dyDescent="0.2">
      <c r="A13" s="384" t="s">
        <v>477</v>
      </c>
      <c r="B13" s="391">
        <f>(100*12)/2756</f>
        <v>0.43541364296081275</v>
      </c>
      <c r="C13" s="391">
        <f>(100*12)/2080</f>
        <v>0.57692307692307687</v>
      </c>
      <c r="D13"/>
      <c r="E13"/>
      <c r="F13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7"/>
    </row>
    <row r="14" spans="1:17" ht="24.95" customHeight="1" x14ac:dyDescent="0.2">
      <c r="A14" s="384" t="s">
        <v>476</v>
      </c>
      <c r="B14" s="391">
        <f>(175*12)/2756+0.01</f>
        <v>0.77197387518142235</v>
      </c>
      <c r="C14" s="391">
        <f>(175*12)/2080</f>
        <v>1.0096153846153846</v>
      </c>
      <c r="D14"/>
      <c r="E14"/>
      <c r="F14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</row>
    <row r="15" spans="1:17" ht="24.95" customHeight="1" x14ac:dyDescent="0.2">
      <c r="A15" s="384" t="s">
        <v>475</v>
      </c>
      <c r="B15" s="391">
        <f>(267*12)/2756+0.01</f>
        <v>1.17255442670537</v>
      </c>
      <c r="C15" s="391">
        <f>(267*12)/2080</f>
        <v>1.5403846153846155</v>
      </c>
      <c r="D15"/>
      <c r="E15"/>
      <c r="F1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</row>
    <row r="16" spans="1:17" ht="24.95" customHeight="1" x14ac:dyDescent="0.2">
      <c r="A16" s="384" t="s">
        <v>664</v>
      </c>
      <c r="B16" s="391">
        <f>(225*12)/2756</f>
        <v>0.97968069666182878</v>
      </c>
      <c r="C16" s="391">
        <f>(225*12)/2080</f>
        <v>1.2980769230769231</v>
      </c>
      <c r="D16"/>
      <c r="E16"/>
      <c r="F1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</row>
    <row r="17" spans="1:17" ht="24.95" customHeight="1" x14ac:dyDescent="0.2">
      <c r="A17" s="384" t="s">
        <v>702</v>
      </c>
      <c r="B17" s="391">
        <f>(275*12)/2756</f>
        <v>1.1973875181422351</v>
      </c>
      <c r="C17" s="391">
        <f>(275*12)/2080</f>
        <v>1.5865384615384615</v>
      </c>
      <c r="D17"/>
      <c r="E17"/>
      <c r="F1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7"/>
    </row>
    <row r="18" spans="1:17" ht="24.95" customHeight="1" x14ac:dyDescent="0.2">
      <c r="A18" s="384" t="s">
        <v>665</v>
      </c>
      <c r="B18" s="391">
        <f>(75*12)/2756</f>
        <v>0.32656023222060959</v>
      </c>
      <c r="C18" s="391">
        <f>(75*12)/2080+0.01</f>
        <v>0.44269230769230772</v>
      </c>
      <c r="D18"/>
      <c r="E18"/>
      <c r="F18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7"/>
    </row>
    <row r="19" spans="1:17" ht="24.95" customHeight="1" x14ac:dyDescent="0.2">
      <c r="A19" s="384" t="s">
        <v>666</v>
      </c>
      <c r="B19" s="391">
        <f>(100*12)/2756</f>
        <v>0.43541364296081275</v>
      </c>
      <c r="C19" s="391">
        <f>(100*12)/2080</f>
        <v>0.57692307692307687</v>
      </c>
      <c r="D19"/>
      <c r="E19"/>
      <c r="F19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</row>
    <row r="20" spans="1:17" ht="24.95" customHeight="1" x14ac:dyDescent="0.2">
      <c r="A20" s="384" t="s">
        <v>667</v>
      </c>
      <c r="B20" s="391">
        <f>(150*12)/2756+0.01</f>
        <v>0.66312046444121919</v>
      </c>
      <c r="C20" s="391">
        <f>(150*12)/2080+0.01</f>
        <v>0.87538461538461543</v>
      </c>
      <c r="D20"/>
      <c r="E20"/>
      <c r="F20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</row>
    <row r="21" spans="1:17" ht="24.95" customHeight="1" x14ac:dyDescent="0.2">
      <c r="A21" s="384" t="s">
        <v>532</v>
      </c>
      <c r="B21" s="391">
        <f>(75*12)/2756</f>
        <v>0.32656023222060959</v>
      </c>
      <c r="C21" s="391">
        <f>(75*12)/2080+0.01</f>
        <v>0.44269230769230772</v>
      </c>
      <c r="D21"/>
      <c r="E21"/>
      <c r="F21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7"/>
    </row>
    <row r="22" spans="1:17" ht="24.95" customHeight="1" x14ac:dyDescent="0.2">
      <c r="A22" s="384" t="s">
        <v>533</v>
      </c>
      <c r="B22" s="391">
        <f>(100*12)/2756</f>
        <v>0.43541364296081275</v>
      </c>
      <c r="C22" s="391">
        <f>(100*12)/2080</f>
        <v>0.57692307692307687</v>
      </c>
      <c r="D22"/>
      <c r="E22"/>
      <c r="F22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</row>
    <row r="23" spans="1:17" ht="24.95" customHeight="1" x14ac:dyDescent="0.2">
      <c r="A23" s="384" t="s">
        <v>534</v>
      </c>
      <c r="B23" s="391">
        <f>(125*12)/2756+0.01</f>
        <v>0.55426705370101592</v>
      </c>
      <c r="C23" s="391">
        <f>(125*12)/2080+0.01</f>
        <v>0.73115384615384615</v>
      </c>
      <c r="D23"/>
      <c r="E23"/>
      <c r="F23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</row>
    <row r="24" spans="1:17" ht="24.95" customHeight="1" x14ac:dyDescent="0.2">
      <c r="A24" s="384" t="s">
        <v>494</v>
      </c>
      <c r="B24" s="391">
        <f>(125*12)/2756+0.01</f>
        <v>0.55426705370101592</v>
      </c>
      <c r="C24" s="391">
        <f>(125*12)/2080+0.01</f>
        <v>0.73115384615384615</v>
      </c>
      <c r="D24"/>
      <c r="E24"/>
      <c r="F24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</row>
    <row r="25" spans="1:17" ht="24.75" customHeight="1" x14ac:dyDescent="0.2">
      <c r="A25" s="384" t="s">
        <v>660</v>
      </c>
      <c r="B25" s="391">
        <f>(75*12)/2756</f>
        <v>0.32656023222060959</v>
      </c>
      <c r="C25" s="391">
        <f>(75*12)/2080+0.01</f>
        <v>0.44269230769230772</v>
      </c>
      <c r="D25"/>
      <c r="E25"/>
      <c r="F2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7"/>
    </row>
    <row r="26" spans="1:17" ht="24.75" customHeight="1" x14ac:dyDescent="0.2">
      <c r="A26" s="384" t="s">
        <v>661</v>
      </c>
      <c r="B26" s="391">
        <f>(100*12)/2756</f>
        <v>0.43541364296081275</v>
      </c>
      <c r="C26" s="391">
        <f>(100*12)/2080</f>
        <v>0.57692307692307687</v>
      </c>
      <c r="D26"/>
      <c r="E26"/>
      <c r="F2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</row>
    <row r="27" spans="1:17" ht="24.75" customHeight="1" x14ac:dyDescent="0.2">
      <c r="A27" s="384" t="s">
        <v>662</v>
      </c>
      <c r="B27" s="391">
        <f>(125*12)/2756+0.01</f>
        <v>0.55426705370101592</v>
      </c>
      <c r="C27" s="391">
        <f>(125*12)/2080+0.01</f>
        <v>0.73115384615384615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</row>
    <row r="28" spans="1:17" ht="24.75" customHeight="1" x14ac:dyDescent="0.2">
      <c r="A28" s="384" t="s">
        <v>663</v>
      </c>
      <c r="B28" s="391">
        <f>(150*12)/2756+0.01</f>
        <v>0.66312046444121919</v>
      </c>
      <c r="C28" s="391">
        <f>(150*12)/2080</f>
        <v>0.86538461538461542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7"/>
    </row>
    <row r="29" spans="1:17" x14ac:dyDescent="0.2">
      <c r="B29" s="136"/>
      <c r="C29" s="136"/>
      <c r="O29" s="136"/>
      <c r="P29" s="136"/>
      <c r="Q29" s="137"/>
    </row>
    <row r="30" spans="1:17" x14ac:dyDescent="0.2">
      <c r="B30" s="136"/>
      <c r="C30" s="136"/>
    </row>
  </sheetData>
  <phoneticPr fontId="32" type="noConversion"/>
  <printOptions horizontalCentered="1"/>
  <pageMargins left="1" right="0.75" top="1.5" bottom="1" header="1.25" footer="0.5"/>
  <pageSetup scale="97"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workbookViewId="0"/>
  </sheetViews>
  <sheetFormatPr defaultColWidth="9.140625" defaultRowHeight="18.75" customHeight="1" x14ac:dyDescent="0.2"/>
  <cols>
    <col min="1" max="1" width="35.28515625" style="9" bestFit="1" customWidth="1"/>
    <col min="2" max="2" width="11.28515625" style="66" hidden="1" customWidth="1"/>
    <col min="3" max="3" width="11.28515625" style="9" hidden="1" customWidth="1"/>
    <col min="4" max="8" width="11.28515625" style="66" hidden="1" customWidth="1"/>
    <col min="9" max="12" width="0" style="66" hidden="1" customWidth="1"/>
    <col min="13" max="16384" width="9.140625" style="66"/>
  </cols>
  <sheetData>
    <row r="1" spans="1:15" ht="18.75" customHeight="1" x14ac:dyDescent="0.3">
      <c r="A1" s="354" t="s">
        <v>399</v>
      </c>
      <c r="B1" s="210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139"/>
      <c r="B2" s="197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144" customFormat="1" ht="18.75" customHeight="1" x14ac:dyDescent="0.2">
      <c r="A3" s="143" t="s">
        <v>97</v>
      </c>
      <c r="B3" s="146">
        <v>2010</v>
      </c>
      <c r="C3" s="290">
        <v>2013</v>
      </c>
      <c r="D3" s="322">
        <v>2014</v>
      </c>
      <c r="E3" s="322">
        <v>2015</v>
      </c>
      <c r="F3" s="322">
        <v>2016</v>
      </c>
      <c r="G3" s="322">
        <v>2017</v>
      </c>
      <c r="H3" s="322">
        <v>2018</v>
      </c>
      <c r="I3" s="322">
        <v>2019</v>
      </c>
      <c r="J3" s="322">
        <v>2020</v>
      </c>
      <c r="K3" s="322">
        <v>2021</v>
      </c>
      <c r="L3" s="322">
        <v>2022</v>
      </c>
      <c r="M3" s="322">
        <v>2023</v>
      </c>
      <c r="N3" s="322">
        <v>2024</v>
      </c>
      <c r="O3" s="322">
        <v>2025</v>
      </c>
    </row>
    <row r="4" spans="1:15" s="144" customFormat="1" ht="18.75" customHeight="1" x14ac:dyDescent="0.3">
      <c r="A4" s="25" t="s">
        <v>149</v>
      </c>
      <c r="B4" s="78">
        <v>10720</v>
      </c>
      <c r="C4" s="332">
        <v>10944.47</v>
      </c>
      <c r="D4" s="332">
        <f>2759.81+(2831*3)</f>
        <v>11252.81</v>
      </c>
      <c r="E4" s="332">
        <f>(2661.13*1)+(3201.95*3)</f>
        <v>12266.98</v>
      </c>
      <c r="F4" s="394">
        <v>12800</v>
      </c>
      <c r="G4" s="394">
        <f>3250*4</f>
        <v>13000</v>
      </c>
      <c r="H4" s="394">
        <v>14240</v>
      </c>
      <c r="I4" s="394">
        <v>17000</v>
      </c>
      <c r="J4" s="394">
        <f>17000*1.05</f>
        <v>17850</v>
      </c>
      <c r="K4" s="394">
        <f>17000*1.05</f>
        <v>17850</v>
      </c>
      <c r="L4" s="394">
        <f>17850*1.05</f>
        <v>18742.5</v>
      </c>
      <c r="M4" s="394">
        <f>17850*1.05</f>
        <v>18742.5</v>
      </c>
      <c r="N4" s="394">
        <f>(17850*1.05)*1.1</f>
        <v>20616.75</v>
      </c>
      <c r="O4" s="394">
        <f>(N4*1.05)*1.1</f>
        <v>23812.346250000002</v>
      </c>
    </row>
    <row r="5" spans="1:15" s="144" customFormat="1" ht="18.75" customHeight="1" x14ac:dyDescent="0.3">
      <c r="A5" s="25" t="s">
        <v>218</v>
      </c>
      <c r="B5" s="78">
        <v>5570</v>
      </c>
      <c r="C5" s="332">
        <v>6000</v>
      </c>
      <c r="D5" s="332">
        <f>5900*1.19</f>
        <v>7021</v>
      </c>
      <c r="E5" s="332">
        <f>5874*1.27</f>
        <v>7459.9800000000005</v>
      </c>
      <c r="F5" s="394">
        <f>5874*1.34</f>
        <v>7871.1600000000008</v>
      </c>
      <c r="G5" s="394">
        <f>5874*1.44</f>
        <v>8458.56</v>
      </c>
      <c r="H5" s="394">
        <f>5970*1.58</f>
        <v>9432.6</v>
      </c>
      <c r="I5" s="394">
        <f>5970*1.59</f>
        <v>9492.3000000000011</v>
      </c>
      <c r="J5" s="394">
        <f>(6041*1.87)</f>
        <v>11296.67</v>
      </c>
      <c r="K5" s="394">
        <f>(6041*1.9)</f>
        <v>11477.9</v>
      </c>
      <c r="L5" s="394">
        <f>(6076*1.87)</f>
        <v>11362.12</v>
      </c>
      <c r="M5" s="394">
        <f>(6076*2.08)</f>
        <v>12638.08</v>
      </c>
      <c r="N5" s="394">
        <f>(6076*2.27)</f>
        <v>13792.52</v>
      </c>
      <c r="O5" s="394">
        <f>(5583*2.39)</f>
        <v>13343.37</v>
      </c>
    </row>
    <row r="6" spans="1:15" ht="18.75" customHeight="1" x14ac:dyDescent="0.3">
      <c r="A6" s="25" t="s">
        <v>30</v>
      </c>
      <c r="B6" s="32">
        <v>200</v>
      </c>
      <c r="C6" s="46">
        <v>200</v>
      </c>
      <c r="D6" s="46">
        <v>200</v>
      </c>
      <c r="E6" s="46">
        <v>200</v>
      </c>
      <c r="F6" s="395">
        <v>200</v>
      </c>
      <c r="G6" s="395">
        <v>200</v>
      </c>
      <c r="H6" s="395">
        <v>200</v>
      </c>
      <c r="I6" s="395">
        <v>200</v>
      </c>
      <c r="J6" s="395">
        <v>200</v>
      </c>
      <c r="K6" s="395">
        <v>200</v>
      </c>
      <c r="L6" s="395">
        <v>200</v>
      </c>
      <c r="M6" s="395">
        <v>200</v>
      </c>
      <c r="N6" s="395">
        <v>200</v>
      </c>
      <c r="O6" s="395">
        <v>200</v>
      </c>
    </row>
    <row r="7" spans="1:15" ht="18.75" customHeight="1" x14ac:dyDescent="0.3">
      <c r="A7" s="213"/>
      <c r="B7" s="32"/>
      <c r="C7" s="46"/>
      <c r="D7" s="46"/>
      <c r="E7" s="46">
        <v>915.48</v>
      </c>
      <c r="F7" s="395"/>
      <c r="G7" s="395"/>
      <c r="H7" s="395"/>
      <c r="I7" s="395"/>
      <c r="J7" s="395"/>
      <c r="K7" s="395"/>
      <c r="L7" s="395"/>
      <c r="M7" s="395"/>
      <c r="N7" s="395"/>
      <c r="O7" s="395"/>
    </row>
    <row r="8" spans="1:15" ht="18.75" customHeight="1" x14ac:dyDescent="0.3">
      <c r="A8" s="208"/>
      <c r="B8" s="32">
        <v>-2890</v>
      </c>
      <c r="C8" s="46"/>
      <c r="D8" s="46"/>
      <c r="E8" s="46"/>
      <c r="F8" s="395"/>
      <c r="G8" s="395"/>
      <c r="H8" s="395"/>
      <c r="I8" s="395"/>
      <c r="J8" s="395"/>
      <c r="K8" s="395"/>
      <c r="L8" s="395"/>
      <c r="M8" s="395"/>
      <c r="N8" s="395"/>
      <c r="O8" s="395"/>
    </row>
    <row r="9" spans="1:15" ht="18.75" customHeight="1" x14ac:dyDescent="0.3">
      <c r="A9" s="296"/>
      <c r="B9" s="88">
        <v>-62.93</v>
      </c>
      <c r="C9" s="305"/>
      <c r="D9" s="305"/>
      <c r="E9" s="305"/>
      <c r="F9" s="396"/>
      <c r="G9" s="396"/>
      <c r="H9" s="396"/>
      <c r="I9" s="396"/>
      <c r="J9" s="396"/>
      <c r="K9" s="396"/>
      <c r="L9" s="396"/>
      <c r="M9" s="396"/>
      <c r="N9" s="396"/>
      <c r="O9" s="396"/>
    </row>
    <row r="10" spans="1:15" ht="18.75" customHeight="1" x14ac:dyDescent="0.3">
      <c r="A10" s="294" t="s">
        <v>99</v>
      </c>
      <c r="B10" s="295">
        <f t="shared" ref="B10:O10" si="0">SUM(B4:B9)</f>
        <v>13537.07</v>
      </c>
      <c r="C10" s="295">
        <f t="shared" si="0"/>
        <v>17144.47</v>
      </c>
      <c r="D10" s="295">
        <f t="shared" si="0"/>
        <v>18473.809999999998</v>
      </c>
      <c r="E10" s="321">
        <f t="shared" si="0"/>
        <v>20842.439999999999</v>
      </c>
      <c r="F10" s="397">
        <f t="shared" si="0"/>
        <v>20871.16</v>
      </c>
      <c r="G10" s="397">
        <f t="shared" si="0"/>
        <v>21658.559999999998</v>
      </c>
      <c r="H10" s="397">
        <f t="shared" si="0"/>
        <v>23872.6</v>
      </c>
      <c r="I10" s="397">
        <f t="shared" si="0"/>
        <v>26692.300000000003</v>
      </c>
      <c r="J10" s="397">
        <f t="shared" si="0"/>
        <v>29346.67</v>
      </c>
      <c r="K10" s="397">
        <f t="shared" si="0"/>
        <v>29527.9</v>
      </c>
      <c r="L10" s="397">
        <f t="shared" si="0"/>
        <v>30304.620000000003</v>
      </c>
      <c r="M10" s="397">
        <f t="shared" si="0"/>
        <v>31580.58</v>
      </c>
      <c r="N10" s="397">
        <f t="shared" si="0"/>
        <v>34609.270000000004</v>
      </c>
      <c r="O10" s="397">
        <f t="shared" si="0"/>
        <v>37355.716250000005</v>
      </c>
    </row>
    <row r="11" spans="1:15" ht="16.5" customHeight="1" x14ac:dyDescent="0.3">
      <c r="A11" s="67"/>
      <c r="B11" s="18"/>
      <c r="C11" s="67"/>
      <c r="D11" s="18"/>
      <c r="E11" s="18"/>
      <c r="F11" s="18"/>
      <c r="G11" s="18"/>
      <c r="H11" s="18"/>
    </row>
    <row r="12" spans="1:15" ht="16.5" customHeight="1" x14ac:dyDescent="0.3">
      <c r="A12" s="11"/>
      <c r="B12" s="18"/>
      <c r="C12" s="67"/>
      <c r="D12" s="18"/>
      <c r="E12" s="18"/>
      <c r="F12" s="18"/>
    </row>
    <row r="13" spans="1:15" ht="16.5" customHeight="1" x14ac:dyDescent="0.3">
      <c r="A13" s="11"/>
      <c r="B13" s="18"/>
      <c r="C13" s="67"/>
      <c r="D13" s="18"/>
      <c r="E13" s="18"/>
      <c r="F13" s="18"/>
    </row>
    <row r="14" spans="1:15" ht="16.5" customHeight="1" x14ac:dyDescent="0.3">
      <c r="A14" s="11"/>
      <c r="B14" s="18"/>
      <c r="C14" s="67"/>
      <c r="D14" s="18"/>
      <c r="E14" s="18"/>
      <c r="F14" s="18"/>
    </row>
    <row r="15" spans="1:15" ht="16.5" customHeight="1" x14ac:dyDescent="0.3">
      <c r="A15" s="11"/>
      <c r="B15" s="18"/>
      <c r="C15" s="67"/>
      <c r="D15" s="18"/>
      <c r="E15" s="18"/>
      <c r="F15" s="18"/>
    </row>
    <row r="16" spans="1:15" ht="16.5" customHeight="1" x14ac:dyDescent="0.3">
      <c r="A16" s="11"/>
      <c r="B16" s="18"/>
      <c r="C16" s="67"/>
      <c r="D16" s="18"/>
      <c r="E16" s="18"/>
      <c r="F16" s="18"/>
    </row>
    <row r="17" spans="1:6" ht="16.5" customHeight="1" x14ac:dyDescent="0.3">
      <c r="A17" s="11"/>
      <c r="B17" s="18"/>
      <c r="C17" s="67"/>
      <c r="D17" s="18"/>
      <c r="E17" s="18"/>
      <c r="F17" s="18"/>
    </row>
    <row r="18" spans="1:6" ht="16.5" customHeight="1" x14ac:dyDescent="0.3">
      <c r="A18" s="11"/>
      <c r="B18" s="18"/>
      <c r="C18" s="67"/>
      <c r="D18" s="18"/>
      <c r="E18" s="18"/>
      <c r="F18" s="18"/>
    </row>
    <row r="19" spans="1:6" ht="16.5" customHeight="1" x14ac:dyDescent="0.3">
      <c r="A19" s="11"/>
      <c r="B19" s="18"/>
      <c r="C19" s="67"/>
      <c r="D19" s="18"/>
      <c r="E19" s="18"/>
      <c r="F19" s="18"/>
    </row>
    <row r="20" spans="1:6" ht="16.5" customHeight="1" x14ac:dyDescent="0.3">
      <c r="A20" s="11"/>
      <c r="B20" s="18"/>
      <c r="C20" s="67"/>
      <c r="D20" s="18"/>
      <c r="E20" s="18"/>
      <c r="F20" s="18"/>
    </row>
    <row r="21" spans="1:6" ht="16.5" customHeight="1" x14ac:dyDescent="0.3">
      <c r="A21" s="11"/>
      <c r="B21" s="18"/>
      <c r="C21" s="67"/>
      <c r="D21" s="18"/>
      <c r="E21" s="18"/>
      <c r="F21" s="18"/>
    </row>
    <row r="22" spans="1:6" ht="16.5" customHeight="1" x14ac:dyDescent="0.2">
      <c r="A22" s="151"/>
    </row>
    <row r="23" spans="1:6" ht="16.5" customHeight="1" x14ac:dyDescent="0.2">
      <c r="A23" s="151"/>
    </row>
    <row r="24" spans="1:6" ht="16.5" customHeight="1" x14ac:dyDescent="0.2">
      <c r="A24" s="151"/>
    </row>
    <row r="25" spans="1:6" ht="16.5" customHeight="1" x14ac:dyDescent="0.2">
      <c r="A25" s="151"/>
    </row>
    <row r="26" spans="1:6" ht="16.5" customHeight="1" x14ac:dyDescent="0.3">
      <c r="A26" s="11"/>
      <c r="B26" s="18"/>
      <c r="C26" s="67"/>
      <c r="D26" s="18"/>
      <c r="E26" s="18"/>
      <c r="F26" s="18"/>
    </row>
    <row r="27" spans="1:6" ht="16.5" customHeight="1" x14ac:dyDescent="0.3">
      <c r="A27" s="11"/>
      <c r="B27" s="18"/>
      <c r="C27" s="67"/>
      <c r="D27" s="18"/>
      <c r="E27" s="18"/>
      <c r="F27" s="18"/>
    </row>
    <row r="28" spans="1:6" ht="18.75" customHeight="1" x14ac:dyDescent="0.3">
      <c r="A28" s="18"/>
      <c r="B28" s="18"/>
      <c r="C28" s="67"/>
      <c r="D28" s="18"/>
      <c r="E28" s="18"/>
      <c r="F28" s="18"/>
    </row>
    <row r="29" spans="1:6" ht="18.75" customHeight="1" x14ac:dyDescent="0.3">
      <c r="A29" s="18"/>
      <c r="B29" s="18"/>
      <c r="C29" s="67"/>
      <c r="D29" s="18"/>
      <c r="E29" s="18"/>
      <c r="F29" s="18"/>
    </row>
    <row r="30" spans="1:6" ht="18.75" customHeight="1" x14ac:dyDescent="0.3">
      <c r="A30" s="18"/>
      <c r="B30" s="18"/>
      <c r="C30" s="67"/>
      <c r="D30" s="18"/>
      <c r="E30" s="18"/>
      <c r="F30" s="18"/>
    </row>
    <row r="31" spans="1:6" ht="18.75" customHeight="1" x14ac:dyDescent="0.3">
      <c r="A31" s="18"/>
      <c r="B31" s="18"/>
      <c r="C31" s="67"/>
      <c r="D31" s="18"/>
      <c r="E31" s="18"/>
      <c r="F31" s="18"/>
    </row>
    <row r="32" spans="1:6" ht="18.75" customHeight="1" x14ac:dyDescent="0.2">
      <c r="A32" s="66"/>
    </row>
    <row r="33" s="66" customFormat="1" ht="18.75" customHeight="1" x14ac:dyDescent="0.2"/>
    <row r="34" s="66" customFormat="1" ht="18.75" customHeight="1" x14ac:dyDescent="0.2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30"/>
  <sheetViews>
    <sheetView workbookViewId="0"/>
  </sheetViews>
  <sheetFormatPr defaultColWidth="9.140625" defaultRowHeight="18.75" customHeight="1" x14ac:dyDescent="0.3"/>
  <cols>
    <col min="1" max="1" width="46" style="67" bestFit="1" customWidth="1"/>
    <col min="2" max="2" width="10.42578125" style="35" hidden="1" customWidth="1"/>
    <col min="3" max="8" width="10.4257812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411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s="36" customFormat="1" ht="24.95" customHeight="1" x14ac:dyDescent="0.3">
      <c r="A5" s="31"/>
      <c r="B5" s="150"/>
      <c r="C5" s="150"/>
      <c r="D5" s="150"/>
      <c r="E5" s="150"/>
      <c r="F5" s="434"/>
      <c r="G5" s="434"/>
      <c r="H5" s="434"/>
      <c r="I5" s="434"/>
      <c r="J5" s="434"/>
      <c r="K5" s="434"/>
      <c r="L5" s="434"/>
      <c r="M5" s="434"/>
      <c r="N5" s="434"/>
      <c r="O5" s="434"/>
    </row>
    <row r="6" spans="1:15" ht="24.95" customHeight="1" x14ac:dyDescent="0.3">
      <c r="A6" s="47" t="s">
        <v>41</v>
      </c>
      <c r="B6" s="46">
        <v>2000</v>
      </c>
      <c r="C6" s="46">
        <v>600</v>
      </c>
      <c r="D6" s="46">
        <v>500</v>
      </c>
      <c r="E6" s="46">
        <v>800</v>
      </c>
      <c r="F6" s="395">
        <v>800</v>
      </c>
      <c r="G6" s="395">
        <v>600</v>
      </c>
      <c r="H6" s="395">
        <v>700</v>
      </c>
      <c r="I6" s="395">
        <v>750</v>
      </c>
      <c r="J6" s="395">
        <v>750</v>
      </c>
      <c r="K6" s="395">
        <v>750</v>
      </c>
      <c r="L6" s="395">
        <v>750</v>
      </c>
      <c r="M6" s="395">
        <v>1250</v>
      </c>
      <c r="N6" s="395">
        <v>1250</v>
      </c>
      <c r="O6" s="395">
        <v>1250</v>
      </c>
    </row>
    <row r="7" spans="1:15" ht="24.95" customHeight="1" x14ac:dyDescent="0.3">
      <c r="A7" s="47" t="s">
        <v>42</v>
      </c>
      <c r="B7" s="46">
        <v>4600</v>
      </c>
      <c r="C7" s="46">
        <v>3500</v>
      </c>
      <c r="D7" s="46">
        <v>4000</v>
      </c>
      <c r="E7" s="46">
        <v>2500</v>
      </c>
      <c r="F7" s="395">
        <v>1800</v>
      </c>
      <c r="G7" s="395">
        <v>2000</v>
      </c>
      <c r="H7" s="395">
        <v>2100</v>
      </c>
      <c r="I7" s="395">
        <v>2500</v>
      </c>
      <c r="J7" s="395">
        <v>2800</v>
      </c>
      <c r="K7" s="395">
        <v>3000</v>
      </c>
      <c r="L7" s="395">
        <v>3000</v>
      </c>
      <c r="M7" s="395">
        <v>8000</v>
      </c>
      <c r="N7" s="395">
        <v>8000</v>
      </c>
      <c r="O7" s="395">
        <v>10000</v>
      </c>
    </row>
    <row r="8" spans="1:15" ht="24.95" customHeight="1" x14ac:dyDescent="0.3">
      <c r="A8" s="42" t="s">
        <v>143</v>
      </c>
      <c r="B8" s="32">
        <v>600</v>
      </c>
      <c r="C8" s="32">
        <v>500</v>
      </c>
      <c r="D8" s="32">
        <v>500</v>
      </c>
      <c r="E8" s="32">
        <v>500</v>
      </c>
      <c r="F8" s="401">
        <v>500</v>
      </c>
      <c r="G8" s="401">
        <v>500</v>
      </c>
      <c r="H8" s="401">
        <v>500</v>
      </c>
      <c r="I8" s="401">
        <v>500</v>
      </c>
      <c r="J8" s="401">
        <v>500</v>
      </c>
      <c r="K8" s="401">
        <v>500</v>
      </c>
      <c r="L8" s="401">
        <v>500</v>
      </c>
      <c r="M8" s="401">
        <v>0</v>
      </c>
      <c r="N8" s="401">
        <v>0</v>
      </c>
      <c r="O8" s="401">
        <v>0</v>
      </c>
    </row>
    <row r="9" spans="1:15" ht="24.95" customHeight="1" x14ac:dyDescent="0.3">
      <c r="A9" s="47" t="s">
        <v>591</v>
      </c>
      <c r="B9" s="46">
        <v>800</v>
      </c>
      <c r="C9" s="46"/>
      <c r="D9" s="46">
        <v>300</v>
      </c>
      <c r="E9" s="46">
        <v>400</v>
      </c>
      <c r="F9" s="395">
        <v>400</v>
      </c>
      <c r="G9" s="395">
        <v>600</v>
      </c>
      <c r="H9" s="395">
        <v>600</v>
      </c>
      <c r="I9" s="395">
        <v>800</v>
      </c>
      <c r="J9" s="395">
        <v>1000</v>
      </c>
      <c r="K9" s="395">
        <v>1200</v>
      </c>
      <c r="L9" s="395">
        <v>1200</v>
      </c>
      <c r="M9" s="395">
        <f>300*6</f>
        <v>1800</v>
      </c>
      <c r="N9" s="395">
        <v>2000</v>
      </c>
      <c r="O9" s="395">
        <v>2500</v>
      </c>
    </row>
    <row r="10" spans="1:15" ht="24.95" hidden="1" customHeight="1" x14ac:dyDescent="0.3">
      <c r="A10" s="47" t="s">
        <v>306</v>
      </c>
      <c r="B10" s="46"/>
      <c r="C10" s="46">
        <v>600</v>
      </c>
      <c r="D10" s="46"/>
      <c r="E10" s="46"/>
      <c r="F10" s="395"/>
      <c r="G10" s="395"/>
      <c r="H10" s="395"/>
      <c r="I10" s="395"/>
      <c r="J10" s="395"/>
      <c r="K10" s="395"/>
      <c r="L10" s="395"/>
      <c r="M10" s="395"/>
      <c r="N10" s="395"/>
      <c r="O10" s="395"/>
    </row>
    <row r="11" spans="1:15" ht="24.95" customHeight="1" x14ac:dyDescent="0.3">
      <c r="A11" s="315"/>
      <c r="B11" s="46"/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  <row r="12" spans="1:15" ht="24.95" customHeight="1" x14ac:dyDescent="0.3">
      <c r="A12" s="315"/>
      <c r="B12" s="46"/>
      <c r="C12" s="46"/>
      <c r="D12" s="46"/>
      <c r="E12" s="46"/>
      <c r="F12" s="395"/>
      <c r="G12" s="395"/>
      <c r="H12" s="395"/>
      <c r="I12" s="395"/>
      <c r="J12" s="395"/>
      <c r="K12" s="395"/>
      <c r="L12" s="395"/>
      <c r="M12" s="395"/>
      <c r="N12" s="395"/>
      <c r="O12" s="395"/>
    </row>
    <row r="13" spans="1:15" ht="24.95" customHeight="1" thickBot="1" x14ac:dyDescent="0.35">
      <c r="A13" s="311"/>
      <c r="B13" s="212">
        <v>925</v>
      </c>
      <c r="C13" s="212"/>
      <c r="D13" s="212"/>
      <c r="E13" s="212"/>
      <c r="F13" s="474"/>
      <c r="G13" s="474"/>
      <c r="H13" s="474"/>
      <c r="I13" s="474"/>
      <c r="J13" s="474"/>
      <c r="K13" s="474"/>
      <c r="L13" s="474"/>
      <c r="M13" s="474"/>
      <c r="N13" s="474"/>
      <c r="O13" s="474"/>
    </row>
    <row r="14" spans="1:15" ht="24.95" customHeight="1" thickTop="1" x14ac:dyDescent="0.3">
      <c r="A14" s="73" t="s">
        <v>95</v>
      </c>
      <c r="B14" s="99">
        <f t="shared" ref="B14:H14" si="0">SUM(B4:B13)</f>
        <v>8925</v>
      </c>
      <c r="C14" s="99">
        <f t="shared" si="0"/>
        <v>5200</v>
      </c>
      <c r="D14" s="99">
        <f t="shared" si="0"/>
        <v>5300</v>
      </c>
      <c r="E14" s="99">
        <f t="shared" si="0"/>
        <v>4200</v>
      </c>
      <c r="F14" s="443">
        <f t="shared" si="0"/>
        <v>3500</v>
      </c>
      <c r="G14" s="443">
        <f>SUM(G4:G13)</f>
        <v>3700</v>
      </c>
      <c r="H14" s="443">
        <f t="shared" si="0"/>
        <v>3900</v>
      </c>
      <c r="I14" s="443">
        <f t="shared" ref="I14:N14" si="1">SUM(I4:I13)</f>
        <v>4550</v>
      </c>
      <c r="J14" s="443">
        <f t="shared" si="1"/>
        <v>5050</v>
      </c>
      <c r="K14" s="443">
        <f t="shared" si="1"/>
        <v>5450</v>
      </c>
      <c r="L14" s="443">
        <f t="shared" si="1"/>
        <v>5450</v>
      </c>
      <c r="M14" s="443">
        <f t="shared" si="1"/>
        <v>11050</v>
      </c>
      <c r="N14" s="443">
        <f t="shared" si="1"/>
        <v>11250</v>
      </c>
      <c r="O14" s="443">
        <f t="shared" ref="O14" si="2">SUM(O4:O13)</f>
        <v>13750</v>
      </c>
    </row>
    <row r="15" spans="1:15" ht="18.75" customHeight="1" x14ac:dyDescent="0.3">
      <c r="B15" s="35" t="s">
        <v>96</v>
      </c>
    </row>
    <row r="16" spans="1:15" ht="18.75" customHeight="1" x14ac:dyDescent="0.3">
      <c r="A16" s="11"/>
    </row>
    <row r="17" spans="1:1" ht="18.75" customHeight="1" x14ac:dyDescent="0.3">
      <c r="A17" s="11"/>
    </row>
    <row r="18" spans="1:1" ht="18.75" customHeight="1" x14ac:dyDescent="0.3">
      <c r="A18" s="11"/>
    </row>
    <row r="19" spans="1:1" ht="18.75" customHeight="1" x14ac:dyDescent="0.3">
      <c r="A19" s="11"/>
    </row>
    <row r="20" spans="1:1" ht="18.75" customHeight="1" x14ac:dyDescent="0.3">
      <c r="A20" s="11"/>
    </row>
    <row r="21" spans="1:1" ht="18.75" customHeight="1" x14ac:dyDescent="0.3">
      <c r="A21" s="11"/>
    </row>
    <row r="22" spans="1:1" ht="18.75" customHeight="1" x14ac:dyDescent="0.3">
      <c r="A22" s="11"/>
    </row>
    <row r="23" spans="1:1" ht="18.75" customHeight="1" x14ac:dyDescent="0.3">
      <c r="A23" s="11"/>
    </row>
    <row r="24" spans="1:1" ht="18.75" customHeight="1" x14ac:dyDescent="0.3">
      <c r="A24" s="11"/>
    </row>
    <row r="25" spans="1:1" ht="18.75" customHeight="1" x14ac:dyDescent="0.3">
      <c r="A25" s="11"/>
    </row>
    <row r="26" spans="1:1" ht="18.75" customHeight="1" x14ac:dyDescent="0.3">
      <c r="A26" s="11"/>
    </row>
    <row r="27" spans="1:1" ht="18.75" customHeight="1" x14ac:dyDescent="0.3">
      <c r="A27" s="11"/>
    </row>
    <row r="28" spans="1:1" ht="18.75" customHeight="1" x14ac:dyDescent="0.3">
      <c r="A28" s="11"/>
    </row>
    <row r="29" spans="1:1" ht="18.75" customHeight="1" x14ac:dyDescent="0.3">
      <c r="A29" s="11"/>
    </row>
    <row r="30" spans="1:1" ht="18.75" customHeight="1" x14ac:dyDescent="0.3">
      <c r="A30" s="11"/>
    </row>
  </sheetData>
  <sortState xmlns:xlrd2="http://schemas.microsoft.com/office/spreadsheetml/2017/richdata2" ref="A11:E14">
    <sortCondition ref="A11:A14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31"/>
  <sheetViews>
    <sheetView workbookViewId="0"/>
  </sheetViews>
  <sheetFormatPr defaultColWidth="9.140625" defaultRowHeight="14.25" x14ac:dyDescent="0.2"/>
  <cols>
    <col min="1" max="1" width="32.7109375" style="66" bestFit="1" customWidth="1"/>
    <col min="2" max="2" width="10.42578125" style="66" hidden="1" customWidth="1"/>
    <col min="3" max="3" width="10" style="66" hidden="1" customWidth="1"/>
    <col min="4" max="8" width="10.42578125" style="66" hidden="1" customWidth="1"/>
    <col min="9" max="12" width="0" style="66" hidden="1" customWidth="1"/>
    <col min="13" max="16384" width="9.140625" style="66"/>
  </cols>
  <sheetData>
    <row r="1" spans="1:15" ht="18" customHeight="1" x14ac:dyDescent="0.3">
      <c r="A1" s="167" t="s">
        <v>412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ht="18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24.95" hidden="1" customHeight="1" x14ac:dyDescent="0.3">
      <c r="A5" s="42" t="s">
        <v>69</v>
      </c>
      <c r="B5" s="32">
        <v>400</v>
      </c>
      <c r="C5" s="32">
        <v>700</v>
      </c>
      <c r="D5" s="32" t="s">
        <v>367</v>
      </c>
      <c r="E5" s="32" t="s">
        <v>367</v>
      </c>
      <c r="F5" s="401" t="s">
        <v>367</v>
      </c>
      <c r="G5" s="401" t="s">
        <v>367</v>
      </c>
      <c r="H5" s="401" t="s">
        <v>367</v>
      </c>
      <c r="I5" s="401" t="s">
        <v>367</v>
      </c>
      <c r="J5" s="401" t="s">
        <v>367</v>
      </c>
      <c r="K5" s="401" t="s">
        <v>367</v>
      </c>
      <c r="L5" s="401" t="s">
        <v>367</v>
      </c>
      <c r="M5" s="401" t="s">
        <v>367</v>
      </c>
      <c r="N5" s="401" t="s">
        <v>367</v>
      </c>
      <c r="O5" s="401" t="s">
        <v>367</v>
      </c>
    </row>
    <row r="6" spans="1:15" ht="24.95" customHeight="1" x14ac:dyDescent="0.3">
      <c r="A6" s="42" t="s">
        <v>70</v>
      </c>
      <c r="B6" s="32">
        <v>800</v>
      </c>
      <c r="C6" s="32">
        <v>800</v>
      </c>
      <c r="D6" s="32">
        <v>800</v>
      </c>
      <c r="E6" s="32">
        <v>800</v>
      </c>
      <c r="F6" s="401">
        <v>800</v>
      </c>
      <c r="G6" s="401">
        <v>800</v>
      </c>
      <c r="H6" s="401">
        <v>800</v>
      </c>
      <c r="I6" s="401">
        <v>1000</v>
      </c>
      <c r="J6" s="401">
        <v>1000</v>
      </c>
      <c r="K6" s="401">
        <v>1000</v>
      </c>
      <c r="L6" s="401">
        <v>1000</v>
      </c>
      <c r="M6" s="401">
        <v>1000</v>
      </c>
      <c r="N6" s="401">
        <v>1000</v>
      </c>
      <c r="O6" s="401">
        <v>1000</v>
      </c>
    </row>
    <row r="7" spans="1:15" ht="24.95" customHeight="1" x14ac:dyDescent="0.3">
      <c r="A7" s="42" t="s">
        <v>71</v>
      </c>
      <c r="B7" s="32">
        <v>700</v>
      </c>
      <c r="C7" s="32">
        <v>2600</v>
      </c>
      <c r="D7" s="32">
        <f>1700+1825</f>
        <v>3525</v>
      </c>
      <c r="E7" s="32">
        <f>1700+1825</f>
        <v>3525</v>
      </c>
      <c r="F7" s="401">
        <f>1700+1825</f>
        <v>3525</v>
      </c>
      <c r="G7" s="401">
        <f>1700+1825</f>
        <v>3525</v>
      </c>
      <c r="H7" s="401">
        <v>3600</v>
      </c>
      <c r="I7" s="401">
        <v>3600</v>
      </c>
      <c r="J7" s="401">
        <v>3600</v>
      </c>
      <c r="K7" s="401">
        <v>3600</v>
      </c>
      <c r="L7" s="401">
        <v>3600</v>
      </c>
      <c r="M7" s="401">
        <v>3800</v>
      </c>
      <c r="N7" s="401">
        <v>3800</v>
      </c>
      <c r="O7" s="401">
        <v>3800</v>
      </c>
    </row>
    <row r="8" spans="1:15" ht="24.95" hidden="1" customHeight="1" x14ac:dyDescent="0.3">
      <c r="A8" s="42" t="s">
        <v>72</v>
      </c>
      <c r="B8" s="46">
        <v>250</v>
      </c>
      <c r="C8" s="32" t="s">
        <v>367</v>
      </c>
      <c r="D8" s="32" t="s">
        <v>367</v>
      </c>
      <c r="E8" s="32" t="s">
        <v>367</v>
      </c>
      <c r="F8" s="401" t="s">
        <v>367</v>
      </c>
      <c r="G8" s="401" t="s">
        <v>367</v>
      </c>
      <c r="H8" s="401" t="s">
        <v>367</v>
      </c>
      <c r="I8" s="401" t="s">
        <v>367</v>
      </c>
      <c r="J8" s="401" t="s">
        <v>367</v>
      </c>
      <c r="K8" s="401" t="s">
        <v>367</v>
      </c>
      <c r="L8" s="401" t="s">
        <v>367</v>
      </c>
      <c r="M8" s="401" t="s">
        <v>367</v>
      </c>
      <c r="N8" s="401" t="s">
        <v>367</v>
      </c>
      <c r="O8" s="401" t="s">
        <v>367</v>
      </c>
    </row>
    <row r="9" spans="1:15" ht="24.95" customHeight="1" x14ac:dyDescent="0.3">
      <c r="A9" s="42" t="s">
        <v>366</v>
      </c>
      <c r="B9" s="46">
        <v>125</v>
      </c>
      <c r="C9" s="32" t="s">
        <v>367</v>
      </c>
      <c r="D9" s="46">
        <f>610+460</f>
        <v>1070</v>
      </c>
      <c r="E9" s="46">
        <f>610+460</f>
        <v>1070</v>
      </c>
      <c r="F9" s="395">
        <f>610+460</f>
        <v>1070</v>
      </c>
      <c r="G9" s="395">
        <f>610+460</f>
        <v>1070</v>
      </c>
      <c r="H9" s="395">
        <v>1200</v>
      </c>
      <c r="I9" s="395">
        <v>1400</v>
      </c>
      <c r="J9" s="395">
        <v>1400</v>
      </c>
      <c r="K9" s="395">
        <v>1400</v>
      </c>
      <c r="L9" s="395">
        <v>1400</v>
      </c>
      <c r="M9" s="395">
        <v>1500</v>
      </c>
      <c r="N9" s="395">
        <v>1500</v>
      </c>
      <c r="O9" s="395">
        <v>1500</v>
      </c>
    </row>
    <row r="10" spans="1:15" ht="24.95" customHeight="1" x14ac:dyDescent="0.3">
      <c r="A10" s="42" t="s">
        <v>685</v>
      </c>
      <c r="B10" s="46"/>
      <c r="C10" s="32"/>
      <c r="D10" s="46"/>
      <c r="E10" s="46">
        <v>255</v>
      </c>
      <c r="F10" s="395">
        <v>275</v>
      </c>
      <c r="G10" s="395">
        <v>275</v>
      </c>
      <c r="H10" s="395">
        <v>300</v>
      </c>
      <c r="I10" s="395">
        <v>500</v>
      </c>
      <c r="J10" s="395">
        <v>500</v>
      </c>
      <c r="K10" s="395">
        <v>600</v>
      </c>
      <c r="L10" s="395">
        <v>600</v>
      </c>
      <c r="M10" s="395">
        <v>1000</v>
      </c>
      <c r="N10" s="395">
        <v>1000</v>
      </c>
      <c r="O10" s="395">
        <v>1000</v>
      </c>
    </row>
    <row r="11" spans="1:15" ht="24.95" customHeight="1" x14ac:dyDescent="0.3">
      <c r="A11" s="42" t="s">
        <v>767</v>
      </c>
      <c r="B11" s="46">
        <v>1000</v>
      </c>
      <c r="C11" s="46">
        <v>3400</v>
      </c>
      <c r="D11" s="46">
        <f>40*85</f>
        <v>3400</v>
      </c>
      <c r="E11" s="46">
        <f>40*85</f>
        <v>3400</v>
      </c>
      <c r="F11" s="395">
        <f>40*85</f>
        <v>3400</v>
      </c>
      <c r="G11" s="395">
        <f>40*85</f>
        <v>3400</v>
      </c>
      <c r="H11" s="395">
        <f>40*85</f>
        <v>3400</v>
      </c>
      <c r="I11" s="395">
        <f>45*55</f>
        <v>2475</v>
      </c>
      <c r="J11" s="395">
        <f>35*75</f>
        <v>2625</v>
      </c>
      <c r="K11" s="395">
        <f>35*75</f>
        <v>2625</v>
      </c>
      <c r="L11" s="395">
        <f>35*75</f>
        <v>2625</v>
      </c>
      <c r="M11" s="395">
        <f>36*75</f>
        <v>2700</v>
      </c>
      <c r="N11" s="395">
        <f>45*75</f>
        <v>3375</v>
      </c>
      <c r="O11" s="395">
        <f>45*65</f>
        <v>2925</v>
      </c>
    </row>
    <row r="12" spans="1:15" ht="24.95" customHeight="1" x14ac:dyDescent="0.3">
      <c r="A12" s="42" t="s">
        <v>720</v>
      </c>
      <c r="B12" s="46">
        <v>500</v>
      </c>
      <c r="C12" s="46">
        <v>2125</v>
      </c>
      <c r="D12" s="46">
        <f>25*85</f>
        <v>2125</v>
      </c>
      <c r="E12" s="46">
        <f>25*85</f>
        <v>2125</v>
      </c>
      <c r="F12" s="395">
        <f>20*85</f>
        <v>1700</v>
      </c>
      <c r="G12" s="395">
        <f>20*85</f>
        <v>1700</v>
      </c>
      <c r="H12" s="395">
        <f>20*85</f>
        <v>1700</v>
      </c>
      <c r="I12" s="395">
        <f>25*55</f>
        <v>1375</v>
      </c>
      <c r="J12" s="395">
        <f>25*55</f>
        <v>1375</v>
      </c>
      <c r="K12" s="395">
        <f>20*55</f>
        <v>1100</v>
      </c>
      <c r="L12" s="395">
        <f>20*55</f>
        <v>1100</v>
      </c>
      <c r="M12" s="395">
        <f>22*55</f>
        <v>1210</v>
      </c>
      <c r="N12" s="395">
        <f>10*55</f>
        <v>550</v>
      </c>
      <c r="O12" s="395">
        <f>10*55</f>
        <v>550</v>
      </c>
    </row>
    <row r="13" spans="1:15" ht="24.95" customHeight="1" x14ac:dyDescent="0.3">
      <c r="A13" s="50" t="s">
        <v>686</v>
      </c>
      <c r="B13" s="77">
        <v>100</v>
      </c>
      <c r="C13" s="77">
        <v>100</v>
      </c>
      <c r="D13" s="77">
        <v>150</v>
      </c>
      <c r="E13" s="77">
        <v>150</v>
      </c>
      <c r="F13" s="464">
        <v>150</v>
      </c>
      <c r="G13" s="464">
        <v>150</v>
      </c>
      <c r="H13" s="464">
        <v>150</v>
      </c>
      <c r="I13" s="464">
        <v>150</v>
      </c>
      <c r="J13" s="464">
        <v>225</v>
      </c>
      <c r="K13" s="464">
        <v>225</v>
      </c>
      <c r="L13" s="464">
        <v>225</v>
      </c>
      <c r="M13" s="464">
        <v>200</v>
      </c>
      <c r="N13" s="464">
        <v>200</v>
      </c>
      <c r="O13" s="464">
        <v>200</v>
      </c>
    </row>
    <row r="14" spans="1:15" ht="24.95" customHeight="1" x14ac:dyDescent="0.3">
      <c r="A14" s="50" t="s">
        <v>592</v>
      </c>
      <c r="B14" s="77"/>
      <c r="C14" s="77">
        <v>60</v>
      </c>
      <c r="D14" s="77"/>
      <c r="E14" s="77">
        <v>60</v>
      </c>
      <c r="F14" s="464">
        <v>60</v>
      </c>
      <c r="G14" s="464">
        <v>60</v>
      </c>
      <c r="H14" s="464">
        <v>60</v>
      </c>
      <c r="I14" s="464">
        <v>60</v>
      </c>
      <c r="J14" s="464">
        <v>70</v>
      </c>
      <c r="K14" s="464">
        <v>70</v>
      </c>
      <c r="L14" s="464">
        <v>70</v>
      </c>
      <c r="M14" s="464">
        <v>70</v>
      </c>
      <c r="N14" s="464">
        <v>70</v>
      </c>
      <c r="O14" s="464">
        <v>70</v>
      </c>
    </row>
    <row r="15" spans="1:15" ht="24.95" customHeight="1" x14ac:dyDescent="0.3">
      <c r="A15" s="50" t="s">
        <v>262</v>
      </c>
      <c r="B15" s="77">
        <v>70</v>
      </c>
      <c r="C15" s="77">
        <v>70</v>
      </c>
      <c r="D15" s="77">
        <v>70</v>
      </c>
      <c r="E15" s="77">
        <v>70</v>
      </c>
      <c r="F15" s="464">
        <v>70</v>
      </c>
      <c r="G15" s="464">
        <v>70</v>
      </c>
      <c r="H15" s="464">
        <v>70</v>
      </c>
      <c r="I15" s="464">
        <v>70</v>
      </c>
      <c r="J15" s="464">
        <v>70</v>
      </c>
      <c r="K15" s="464">
        <v>70</v>
      </c>
      <c r="L15" s="464">
        <v>70</v>
      </c>
      <c r="M15" s="464">
        <v>70</v>
      </c>
      <c r="N15" s="464">
        <v>70</v>
      </c>
      <c r="O15" s="464">
        <v>70</v>
      </c>
    </row>
    <row r="16" spans="1:15" ht="24.95" customHeight="1" x14ac:dyDescent="0.3">
      <c r="A16" s="50" t="s">
        <v>593</v>
      </c>
      <c r="B16" s="77">
        <v>50</v>
      </c>
      <c r="C16" s="77">
        <v>85</v>
      </c>
      <c r="D16" s="77">
        <v>85</v>
      </c>
      <c r="E16" s="77">
        <v>85</v>
      </c>
      <c r="F16" s="464">
        <v>85</v>
      </c>
      <c r="G16" s="464">
        <v>85</v>
      </c>
      <c r="H16" s="464">
        <v>85</v>
      </c>
      <c r="I16" s="464">
        <v>55</v>
      </c>
      <c r="J16" s="464">
        <v>55</v>
      </c>
      <c r="K16" s="464">
        <v>55</v>
      </c>
      <c r="L16" s="464">
        <v>55</v>
      </c>
      <c r="M16" s="464">
        <v>55</v>
      </c>
      <c r="N16" s="464">
        <v>75</v>
      </c>
      <c r="O16" s="464">
        <v>75</v>
      </c>
    </row>
    <row r="17" spans="1:15" ht="24.95" customHeight="1" x14ac:dyDescent="0.3">
      <c r="A17" s="50" t="s">
        <v>337</v>
      </c>
      <c r="B17" s="77"/>
      <c r="C17" s="77">
        <v>66</v>
      </c>
      <c r="D17" s="77">
        <f>70*2</f>
        <v>140</v>
      </c>
      <c r="E17" s="77">
        <f>70*2</f>
        <v>140</v>
      </c>
      <c r="F17" s="464">
        <f>70*2</f>
        <v>140</v>
      </c>
      <c r="G17" s="464">
        <f>70*2</f>
        <v>140</v>
      </c>
      <c r="H17" s="464">
        <f>70</f>
        <v>70</v>
      </c>
      <c r="I17" s="464">
        <v>70</v>
      </c>
      <c r="J17" s="464">
        <v>70</v>
      </c>
      <c r="K17" s="464">
        <v>70</v>
      </c>
      <c r="L17" s="464">
        <v>70</v>
      </c>
      <c r="M17" s="464">
        <f>75*2</f>
        <v>150</v>
      </c>
      <c r="N17" s="464">
        <f>75*2</f>
        <v>150</v>
      </c>
      <c r="O17" s="464">
        <f>75*2</f>
        <v>150</v>
      </c>
    </row>
    <row r="18" spans="1:15" ht="24.95" customHeight="1" x14ac:dyDescent="0.3">
      <c r="A18" s="50" t="s">
        <v>378</v>
      </c>
      <c r="B18" s="46"/>
      <c r="C18" s="46">
        <v>1500</v>
      </c>
      <c r="D18" s="46">
        <v>1500</v>
      </c>
      <c r="E18" s="46">
        <v>1600</v>
      </c>
      <c r="F18" s="395">
        <v>1600</v>
      </c>
      <c r="G18" s="395">
        <v>1600</v>
      </c>
      <c r="H18" s="395">
        <v>1700</v>
      </c>
      <c r="I18" s="395">
        <v>1800</v>
      </c>
      <c r="J18" s="395">
        <v>5200</v>
      </c>
      <c r="K18" s="395">
        <v>1800</v>
      </c>
      <c r="L18" s="395">
        <v>1800</v>
      </c>
      <c r="M18" s="395">
        <v>2000</v>
      </c>
      <c r="N18" s="395">
        <v>2000</v>
      </c>
      <c r="O18" s="395">
        <v>6500</v>
      </c>
    </row>
    <row r="19" spans="1:15" ht="24.95" customHeight="1" x14ac:dyDescent="0.3">
      <c r="A19" s="50" t="s">
        <v>536</v>
      </c>
      <c r="B19" s="46"/>
      <c r="C19" s="46"/>
      <c r="D19" s="46">
        <v>275</v>
      </c>
      <c r="E19" s="46">
        <v>300</v>
      </c>
      <c r="F19" s="395">
        <v>300</v>
      </c>
      <c r="G19" s="395">
        <v>300</v>
      </c>
      <c r="H19" s="395">
        <v>300</v>
      </c>
      <c r="I19" s="395">
        <v>300</v>
      </c>
      <c r="J19" s="395">
        <v>300</v>
      </c>
      <c r="K19" s="395">
        <v>300</v>
      </c>
      <c r="L19" s="395">
        <v>300</v>
      </c>
      <c r="M19" s="395">
        <v>400</v>
      </c>
      <c r="N19" s="395">
        <v>400</v>
      </c>
      <c r="O19" s="395">
        <v>400</v>
      </c>
    </row>
    <row r="20" spans="1:15" ht="24.95" customHeight="1" x14ac:dyDescent="0.3">
      <c r="A20" s="50"/>
      <c r="B20" s="46"/>
      <c r="C20" s="46"/>
      <c r="D20" s="46"/>
      <c r="E20" s="46"/>
      <c r="F20" s="395"/>
      <c r="G20" s="395"/>
      <c r="H20" s="395"/>
      <c r="I20" s="395"/>
      <c r="J20" s="395"/>
      <c r="K20" s="395"/>
      <c r="L20" s="395"/>
      <c r="M20" s="395"/>
      <c r="N20" s="395"/>
      <c r="O20" s="395"/>
    </row>
    <row r="21" spans="1:15" ht="24.95" customHeight="1" x14ac:dyDescent="0.3">
      <c r="A21" s="50"/>
      <c r="B21" s="305">
        <v>-1000</v>
      </c>
      <c r="C21" s="305"/>
      <c r="D21" s="305"/>
      <c r="E21" s="305"/>
      <c r="F21" s="396"/>
      <c r="G21" s="396"/>
      <c r="H21" s="396"/>
      <c r="I21" s="396"/>
      <c r="J21" s="396"/>
      <c r="K21" s="396"/>
      <c r="L21" s="396"/>
      <c r="M21" s="396"/>
      <c r="N21" s="396"/>
      <c r="O21" s="396"/>
    </row>
    <row r="22" spans="1:15" ht="24.95" customHeight="1" x14ac:dyDescent="0.3">
      <c r="A22" s="80" t="s">
        <v>139</v>
      </c>
      <c r="B22" s="285">
        <f t="shared" ref="B22:H22" si="0">SUM(B4:B21)</f>
        <v>2995</v>
      </c>
      <c r="C22" s="331">
        <f t="shared" si="0"/>
        <v>11506</v>
      </c>
      <c r="D22" s="331">
        <f t="shared" si="0"/>
        <v>13140</v>
      </c>
      <c r="E22" s="331">
        <f t="shared" si="0"/>
        <v>13580</v>
      </c>
      <c r="F22" s="292">
        <f t="shared" si="0"/>
        <v>13175</v>
      </c>
      <c r="G22" s="292">
        <f>SUM(G4:G21)</f>
        <v>13175</v>
      </c>
      <c r="H22" s="292">
        <f t="shared" si="0"/>
        <v>13435</v>
      </c>
      <c r="I22" s="456">
        <f t="shared" ref="I22:N22" si="1">SUM(I4:I21)</f>
        <v>12855</v>
      </c>
      <c r="J22" s="456">
        <f t="shared" si="1"/>
        <v>16490</v>
      </c>
      <c r="K22" s="456">
        <f t="shared" si="1"/>
        <v>12915</v>
      </c>
      <c r="L22" s="456">
        <f t="shared" si="1"/>
        <v>12915</v>
      </c>
      <c r="M22" s="456">
        <f t="shared" si="1"/>
        <v>14155</v>
      </c>
      <c r="N22" s="456">
        <f t="shared" si="1"/>
        <v>14190</v>
      </c>
      <c r="O22" s="456">
        <f t="shared" ref="O22" si="2">SUM(O4:O21)</f>
        <v>18240</v>
      </c>
    </row>
    <row r="23" spans="1:15" ht="18" customHeight="1" x14ac:dyDescent="0.3">
      <c r="A23" s="18"/>
      <c r="B23" s="18"/>
      <c r="C23" s="18"/>
      <c r="D23" s="18"/>
    </row>
    <row r="24" spans="1:15" ht="18" customHeight="1" x14ac:dyDescent="0.3">
      <c r="A24" s="18"/>
      <c r="B24" s="18"/>
      <c r="C24" s="18"/>
      <c r="D24" s="18"/>
    </row>
    <row r="25" spans="1:15" ht="18" customHeight="1" x14ac:dyDescent="0.3">
      <c r="A25" s="18"/>
      <c r="B25" s="18"/>
      <c r="C25" s="18"/>
      <c r="D25" s="18"/>
    </row>
    <row r="26" spans="1:15" ht="18" customHeight="1" x14ac:dyDescent="0.3">
      <c r="A26" s="18"/>
      <c r="B26" s="18"/>
      <c r="C26" s="18"/>
      <c r="D26" s="18"/>
    </row>
    <row r="27" spans="1:15" ht="18" customHeight="1" x14ac:dyDescent="0.3">
      <c r="A27" s="18"/>
      <c r="B27" s="18"/>
      <c r="C27" s="18"/>
      <c r="D27" s="18"/>
    </row>
    <row r="28" spans="1:15" ht="18" customHeight="1" x14ac:dyDescent="0.3">
      <c r="A28" s="18"/>
      <c r="B28" s="18"/>
      <c r="C28" s="18"/>
      <c r="D28" s="18"/>
    </row>
    <row r="29" spans="1:15" ht="16.5" x14ac:dyDescent="0.3">
      <c r="A29" s="18"/>
      <c r="B29" s="18"/>
      <c r="C29" s="18"/>
      <c r="D29" s="18"/>
    </row>
    <row r="30" spans="1:15" ht="16.5" x14ac:dyDescent="0.3">
      <c r="A30" s="18"/>
      <c r="B30" s="18"/>
      <c r="C30" s="18"/>
      <c r="D30" s="18"/>
    </row>
    <row r="31" spans="1:15" ht="16.5" x14ac:dyDescent="0.3">
      <c r="A31" s="18"/>
      <c r="B31" s="18"/>
      <c r="C31" s="18"/>
      <c r="D31" s="18"/>
    </row>
  </sheetData>
  <sortState xmlns:xlrd2="http://schemas.microsoft.com/office/spreadsheetml/2017/richdata2" ref="A13:E16">
    <sortCondition ref="A13:A16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24"/>
  <sheetViews>
    <sheetView workbookViewId="0"/>
  </sheetViews>
  <sheetFormatPr defaultColWidth="9.140625" defaultRowHeight="16.5" x14ac:dyDescent="0.3"/>
  <cols>
    <col min="1" max="1" width="26.85546875" style="18" bestFit="1" customWidth="1"/>
    <col min="2" max="4" width="11.7109375" style="18" hidden="1" customWidth="1"/>
    <col min="5" max="8" width="10.28515625" style="18" hidden="1" customWidth="1"/>
    <col min="9" max="12" width="0" style="18" hidden="1" customWidth="1"/>
    <col min="13" max="16384" width="9.140625" style="18"/>
  </cols>
  <sheetData>
    <row r="1" spans="1:15" ht="18" customHeight="1" x14ac:dyDescent="0.3">
      <c r="A1" s="167" t="s">
        <v>10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ht="18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24.75" customHeight="1" x14ac:dyDescent="0.3">
      <c r="A5" s="82" t="s">
        <v>11</v>
      </c>
      <c r="B5" s="32"/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</row>
    <row r="6" spans="1:15" ht="18" hidden="1" customHeight="1" x14ac:dyDescent="0.3">
      <c r="A6" s="42" t="s">
        <v>81</v>
      </c>
      <c r="B6" s="32">
        <v>200</v>
      </c>
      <c r="C6" s="32">
        <v>100</v>
      </c>
      <c r="D6" s="32">
        <v>100</v>
      </c>
      <c r="E6" s="32">
        <v>200</v>
      </c>
      <c r="F6" s="401">
        <v>200</v>
      </c>
      <c r="G6" s="401">
        <v>0</v>
      </c>
      <c r="H6" s="401">
        <v>0</v>
      </c>
      <c r="I6" s="401">
        <v>0</v>
      </c>
      <c r="J6" s="401">
        <v>0</v>
      </c>
      <c r="K6" s="401">
        <v>0</v>
      </c>
      <c r="L6" s="401">
        <v>0</v>
      </c>
      <c r="M6" s="401">
        <v>0</v>
      </c>
      <c r="N6" s="401">
        <v>0</v>
      </c>
      <c r="O6" s="401">
        <v>0</v>
      </c>
    </row>
    <row r="7" spans="1:15" ht="18" hidden="1" customHeight="1" x14ac:dyDescent="0.3">
      <c r="A7" s="42" t="s">
        <v>13</v>
      </c>
      <c r="B7" s="32">
        <v>300</v>
      </c>
      <c r="C7" s="32">
        <v>100</v>
      </c>
      <c r="D7" s="32">
        <v>100</v>
      </c>
      <c r="E7" s="32">
        <v>0</v>
      </c>
      <c r="F7" s="401">
        <v>0</v>
      </c>
      <c r="G7" s="401">
        <v>0</v>
      </c>
      <c r="H7" s="401">
        <v>0</v>
      </c>
      <c r="I7" s="401">
        <v>0</v>
      </c>
      <c r="J7" s="401">
        <v>0</v>
      </c>
      <c r="K7" s="401">
        <v>0</v>
      </c>
      <c r="L7" s="401">
        <v>0</v>
      </c>
      <c r="M7" s="401">
        <v>0</v>
      </c>
      <c r="N7" s="401">
        <v>0</v>
      </c>
      <c r="O7" s="401">
        <v>0</v>
      </c>
    </row>
    <row r="8" spans="1:15" ht="18" customHeight="1" x14ac:dyDescent="0.3">
      <c r="A8" s="42" t="s">
        <v>537</v>
      </c>
      <c r="B8" s="32">
        <v>200</v>
      </c>
      <c r="C8" s="32">
        <v>100</v>
      </c>
      <c r="D8" s="32">
        <v>100</v>
      </c>
      <c r="E8" s="32">
        <v>100</v>
      </c>
      <c r="F8" s="401">
        <v>100</v>
      </c>
      <c r="G8" s="401">
        <v>400</v>
      </c>
      <c r="H8" s="401">
        <v>400</v>
      </c>
      <c r="I8" s="401">
        <v>450</v>
      </c>
      <c r="J8" s="401">
        <v>450</v>
      </c>
      <c r="K8" s="401">
        <v>450</v>
      </c>
      <c r="L8" s="401">
        <v>450</v>
      </c>
      <c r="M8" s="401">
        <v>500</v>
      </c>
      <c r="N8" s="401">
        <v>500</v>
      </c>
      <c r="O8" s="401">
        <v>500</v>
      </c>
    </row>
    <row r="9" spans="1:15" ht="18" hidden="1" customHeight="1" x14ac:dyDescent="0.3">
      <c r="A9" s="42" t="s">
        <v>612</v>
      </c>
      <c r="B9" s="32">
        <v>1400</v>
      </c>
      <c r="C9" s="32"/>
      <c r="D9" s="32"/>
      <c r="E9" s="32"/>
      <c r="F9" s="401"/>
      <c r="G9" s="401"/>
      <c r="H9" s="401"/>
      <c r="I9" s="401"/>
      <c r="J9" s="401">
        <f>((70*3)+5980+50)+(930+50)+(1305+50)</f>
        <v>8575</v>
      </c>
      <c r="K9" s="401">
        <v>0</v>
      </c>
      <c r="L9" s="401">
        <v>0</v>
      </c>
      <c r="M9" s="401"/>
      <c r="N9" s="401"/>
      <c r="O9" s="401"/>
    </row>
    <row r="10" spans="1:15" ht="27.75" hidden="1" customHeight="1" x14ac:dyDescent="0.3">
      <c r="A10" s="83" t="s">
        <v>14</v>
      </c>
      <c r="B10" s="32"/>
      <c r="C10" s="32"/>
      <c r="D10" s="32"/>
      <c r="E10" s="32"/>
      <c r="F10" s="401"/>
      <c r="G10" s="401"/>
      <c r="H10" s="401"/>
      <c r="I10" s="401"/>
      <c r="J10" s="401"/>
      <c r="K10" s="401"/>
      <c r="L10" s="401"/>
      <c r="M10" s="401"/>
      <c r="N10" s="401"/>
      <c r="O10" s="401"/>
    </row>
    <row r="11" spans="1:15" ht="18" hidden="1" customHeight="1" x14ac:dyDescent="0.3">
      <c r="A11" s="42" t="s">
        <v>15</v>
      </c>
      <c r="B11" s="46"/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  <row r="12" spans="1:15" ht="18" hidden="1" customHeight="1" x14ac:dyDescent="0.3">
      <c r="A12" s="306" t="s">
        <v>324</v>
      </c>
      <c r="B12" s="46">
        <v>1000</v>
      </c>
      <c r="C12" s="46"/>
      <c r="D12" s="46"/>
      <c r="E12" s="46"/>
      <c r="F12" s="395"/>
      <c r="G12" s="395"/>
      <c r="H12" s="395"/>
      <c r="I12" s="395"/>
      <c r="J12" s="395"/>
      <c r="K12" s="395"/>
      <c r="L12" s="395"/>
      <c r="M12" s="395"/>
      <c r="N12" s="395"/>
      <c r="O12" s="395"/>
    </row>
    <row r="13" spans="1:15" ht="18" customHeight="1" x14ac:dyDescent="0.3">
      <c r="A13" s="306" t="s">
        <v>611</v>
      </c>
      <c r="B13" s="46"/>
      <c r="C13" s="46"/>
      <c r="D13" s="46"/>
      <c r="E13" s="46"/>
      <c r="F13" s="395"/>
      <c r="G13" s="395"/>
      <c r="H13" s="395"/>
      <c r="I13" s="395"/>
      <c r="J13" s="395">
        <v>2500</v>
      </c>
      <c r="K13" s="395">
        <v>2800</v>
      </c>
      <c r="L13" s="395">
        <v>2800</v>
      </c>
      <c r="M13" s="395">
        <v>3000</v>
      </c>
      <c r="N13" s="395">
        <v>3000</v>
      </c>
      <c r="O13" s="395">
        <v>3500</v>
      </c>
    </row>
    <row r="14" spans="1:15" ht="18" customHeight="1" x14ac:dyDescent="0.3">
      <c r="A14" s="42"/>
      <c r="B14" s="46"/>
      <c r="C14" s="46"/>
      <c r="D14" s="46"/>
      <c r="E14" s="46"/>
      <c r="F14" s="395"/>
      <c r="G14" s="395"/>
      <c r="H14" s="395"/>
      <c r="I14" s="395"/>
      <c r="J14" s="395"/>
      <c r="K14" s="395"/>
      <c r="L14" s="395"/>
      <c r="M14" s="395"/>
      <c r="N14" s="395"/>
      <c r="O14" s="395"/>
    </row>
    <row r="15" spans="1:15" ht="18" customHeight="1" x14ac:dyDescent="0.3">
      <c r="A15" s="42"/>
      <c r="B15" s="77"/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</row>
    <row r="16" spans="1:15" ht="18" customHeight="1" x14ac:dyDescent="0.3">
      <c r="A16" s="42"/>
      <c r="B16" s="77"/>
      <c r="C16" s="77"/>
      <c r="D16" s="77"/>
      <c r="E16" s="77"/>
      <c r="F16" s="464"/>
      <c r="G16" s="464"/>
      <c r="H16" s="464"/>
      <c r="I16" s="464"/>
      <c r="J16" s="464"/>
      <c r="K16" s="464"/>
      <c r="L16" s="464"/>
      <c r="M16" s="464"/>
      <c r="N16" s="464"/>
      <c r="O16" s="464"/>
    </row>
    <row r="17" spans="1:15" ht="18" customHeight="1" thickBot="1" x14ac:dyDescent="0.35">
      <c r="A17" s="90"/>
      <c r="B17" s="77">
        <v>-3076.78</v>
      </c>
      <c r="C17" s="77">
        <v>-550</v>
      </c>
      <c r="D17" s="77"/>
      <c r="E17" s="77"/>
      <c r="F17" s="464"/>
      <c r="G17" s="464"/>
      <c r="H17" s="464"/>
      <c r="I17" s="464"/>
      <c r="J17" s="464"/>
      <c r="K17" s="464"/>
      <c r="L17" s="464"/>
      <c r="M17" s="464"/>
      <c r="N17" s="464"/>
      <c r="O17" s="464"/>
    </row>
    <row r="18" spans="1:15" ht="18" customHeight="1" thickTop="1" x14ac:dyDescent="0.3">
      <c r="A18" s="80" t="s">
        <v>139</v>
      </c>
      <c r="B18" s="79">
        <f t="shared" ref="B18:H18" si="0">SUM(B4:B17)</f>
        <v>23.2199999999998</v>
      </c>
      <c r="C18" s="79">
        <f t="shared" si="0"/>
        <v>-250</v>
      </c>
      <c r="D18" s="79">
        <f t="shared" si="0"/>
        <v>300</v>
      </c>
      <c r="E18" s="79">
        <f t="shared" si="0"/>
        <v>300</v>
      </c>
      <c r="F18" s="465">
        <f t="shared" si="0"/>
        <v>300</v>
      </c>
      <c r="G18" s="465">
        <f>SUM(G4:G17)</f>
        <v>400</v>
      </c>
      <c r="H18" s="465">
        <f t="shared" si="0"/>
        <v>400</v>
      </c>
      <c r="I18" s="465">
        <f t="shared" ref="I18:N18" si="1">SUM(I4:I17)</f>
        <v>450</v>
      </c>
      <c r="J18" s="465">
        <f t="shared" si="1"/>
        <v>11525</v>
      </c>
      <c r="K18" s="465">
        <f t="shared" si="1"/>
        <v>3250</v>
      </c>
      <c r="L18" s="465">
        <f t="shared" si="1"/>
        <v>3250</v>
      </c>
      <c r="M18" s="465">
        <f t="shared" si="1"/>
        <v>3500</v>
      </c>
      <c r="N18" s="465">
        <f t="shared" si="1"/>
        <v>3500</v>
      </c>
      <c r="O18" s="465">
        <f t="shared" ref="O18" si="2">SUM(O4:O17)</f>
        <v>4000</v>
      </c>
    </row>
    <row r="19" spans="1:15" ht="18" customHeight="1" x14ac:dyDescent="0.3"/>
    <row r="20" spans="1:15" ht="18" customHeight="1" x14ac:dyDescent="0.3"/>
    <row r="21" spans="1:15" ht="18" customHeight="1" x14ac:dyDescent="0.3"/>
    <row r="22" spans="1:15" ht="18" customHeight="1" x14ac:dyDescent="0.3"/>
    <row r="23" spans="1:15" ht="18" customHeight="1" x14ac:dyDescent="0.3"/>
    <row r="24" spans="1:15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56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3.7109375" style="67" bestFit="1" customWidth="1"/>
    <col min="2" max="2" width="10.7109375" style="19" hidden="1" customWidth="1"/>
    <col min="3" max="8" width="10.7109375" style="18" hidden="1" customWidth="1"/>
    <col min="9" max="12" width="9.5703125" style="18" hidden="1" customWidth="1"/>
    <col min="13" max="15" width="9.5703125" style="18" bestFit="1" customWidth="1"/>
    <col min="16" max="16384" width="9.140625" style="18"/>
  </cols>
  <sheetData>
    <row r="1" spans="1:15" s="36" customFormat="1" ht="18.75" customHeight="1" x14ac:dyDescent="0.3">
      <c r="A1" s="167" t="s">
        <v>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71"/>
      <c r="B4" s="1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s="89" customFormat="1" ht="18.75" customHeight="1" x14ac:dyDescent="0.3">
      <c r="A5" s="47" t="s">
        <v>102</v>
      </c>
      <c r="B5" s="39">
        <v>2000</v>
      </c>
      <c r="C5" s="39">
        <v>5000</v>
      </c>
      <c r="D5" s="39">
        <v>6000</v>
      </c>
      <c r="E5" s="39">
        <v>6000</v>
      </c>
      <c r="F5" s="446">
        <v>6000</v>
      </c>
      <c r="G5" s="446">
        <v>7000</v>
      </c>
      <c r="H5" s="446">
        <v>7000</v>
      </c>
      <c r="I5" s="446">
        <v>6000</v>
      </c>
      <c r="J5" s="446">
        <v>6000</v>
      </c>
      <c r="K5" s="446">
        <v>5000</v>
      </c>
      <c r="L5" s="446">
        <v>5000</v>
      </c>
      <c r="M5" s="446">
        <v>5000</v>
      </c>
      <c r="N5" s="446">
        <v>7500</v>
      </c>
      <c r="O5" s="446">
        <v>9000</v>
      </c>
    </row>
    <row r="6" spans="1:15" s="89" customFormat="1" ht="18.75" customHeight="1" x14ac:dyDescent="0.3">
      <c r="A6" s="47" t="s">
        <v>433</v>
      </c>
      <c r="B6" s="39">
        <v>4000</v>
      </c>
      <c r="C6" s="39">
        <v>4600</v>
      </c>
      <c r="D6" s="75">
        <f>(199*2*2)+(646*2*3)</f>
        <v>4672</v>
      </c>
      <c r="E6" s="75">
        <f>(199*2*2)+(646*2*3)+2000</f>
        <v>6672</v>
      </c>
      <c r="F6" s="439">
        <v>7000</v>
      </c>
      <c r="G6" s="439">
        <v>7000</v>
      </c>
      <c r="H6" s="439">
        <v>7000</v>
      </c>
      <c r="I6" s="439">
        <v>7200</v>
      </c>
      <c r="J6" s="439">
        <v>7200</v>
      </c>
      <c r="K6" s="439">
        <v>7200</v>
      </c>
      <c r="L6" s="439">
        <v>7200</v>
      </c>
      <c r="M6" s="439">
        <v>8000</v>
      </c>
      <c r="N6" s="439">
        <v>10000</v>
      </c>
      <c r="O6" s="439">
        <v>10000</v>
      </c>
    </row>
    <row r="7" spans="1:15" s="89" customFormat="1" ht="18.75" customHeight="1" x14ac:dyDescent="0.3">
      <c r="A7" s="47" t="s">
        <v>103</v>
      </c>
      <c r="B7" s="39">
        <v>800</v>
      </c>
      <c r="C7" s="39">
        <v>850</v>
      </c>
      <c r="D7" s="75">
        <f>(95*4*2)+80</f>
        <v>840</v>
      </c>
      <c r="E7" s="75">
        <f>(175*4)+100</f>
        <v>800</v>
      </c>
      <c r="F7" s="439">
        <f t="shared" ref="F7:K7" si="0">(95*4)+(80*4)+200</f>
        <v>900</v>
      </c>
      <c r="G7" s="439">
        <f t="shared" si="0"/>
        <v>900</v>
      </c>
      <c r="H7" s="439">
        <f t="shared" si="0"/>
        <v>900</v>
      </c>
      <c r="I7" s="439">
        <f t="shared" si="0"/>
        <v>900</v>
      </c>
      <c r="J7" s="439">
        <f t="shared" si="0"/>
        <v>900</v>
      </c>
      <c r="K7" s="439">
        <f t="shared" si="0"/>
        <v>900</v>
      </c>
      <c r="L7" s="439">
        <f>(95*4)+(80*4)</f>
        <v>700</v>
      </c>
      <c r="M7" s="439">
        <v>750</v>
      </c>
      <c r="N7" s="439">
        <v>1000</v>
      </c>
      <c r="O7" s="439">
        <v>1000</v>
      </c>
    </row>
    <row r="8" spans="1:15" s="89" customFormat="1" ht="18.75" hidden="1" customHeight="1" x14ac:dyDescent="0.3">
      <c r="A8" s="42" t="s">
        <v>188</v>
      </c>
      <c r="B8" s="355">
        <v>8000</v>
      </c>
      <c r="C8" s="355">
        <v>8100</v>
      </c>
      <c r="D8" s="355">
        <f>(660*12)</f>
        <v>7920</v>
      </c>
      <c r="E8" s="355">
        <v>0</v>
      </c>
      <c r="F8" s="485"/>
      <c r="G8" s="485"/>
      <c r="H8" s="485"/>
      <c r="I8" s="485"/>
      <c r="J8" s="485"/>
      <c r="K8" s="485"/>
      <c r="L8" s="485"/>
      <c r="M8" s="485"/>
      <c r="N8" s="485"/>
      <c r="O8" s="485"/>
    </row>
    <row r="9" spans="1:15" s="89" customFormat="1" ht="18.75" customHeight="1" x14ac:dyDescent="0.3">
      <c r="A9" s="47" t="s">
        <v>29</v>
      </c>
      <c r="B9" s="39">
        <v>50</v>
      </c>
      <c r="C9" s="39">
        <v>100</v>
      </c>
      <c r="D9" s="39">
        <v>250</v>
      </c>
      <c r="E9" s="39">
        <v>500</v>
      </c>
      <c r="F9" s="446">
        <v>500</v>
      </c>
      <c r="G9" s="446">
        <v>500</v>
      </c>
      <c r="H9" s="446">
        <v>500</v>
      </c>
      <c r="I9" s="446">
        <v>500</v>
      </c>
      <c r="J9" s="446">
        <v>500</v>
      </c>
      <c r="K9" s="446">
        <v>500</v>
      </c>
      <c r="L9" s="446">
        <v>300</v>
      </c>
      <c r="M9" s="446">
        <v>300</v>
      </c>
      <c r="N9" s="446">
        <v>400</v>
      </c>
      <c r="O9" s="446">
        <v>400</v>
      </c>
    </row>
    <row r="10" spans="1:15" s="89" customFormat="1" ht="18.75" customHeight="1" x14ac:dyDescent="0.3">
      <c r="A10" s="47" t="s">
        <v>434</v>
      </c>
      <c r="B10" s="39">
        <v>750</v>
      </c>
      <c r="C10" s="39">
        <v>500</v>
      </c>
      <c r="D10" s="39">
        <v>6000</v>
      </c>
      <c r="E10" s="39">
        <v>1200</v>
      </c>
      <c r="F10" s="446">
        <v>1200</v>
      </c>
      <c r="G10" s="446">
        <v>600</v>
      </c>
      <c r="H10" s="446">
        <v>600</v>
      </c>
      <c r="I10" s="446">
        <v>900</v>
      </c>
      <c r="J10" s="446">
        <v>800</v>
      </c>
      <c r="K10" s="446">
        <v>800</v>
      </c>
      <c r="L10" s="446">
        <v>500</v>
      </c>
      <c r="M10" s="446">
        <v>600</v>
      </c>
      <c r="N10" s="446">
        <v>600</v>
      </c>
      <c r="O10" s="446">
        <v>750</v>
      </c>
    </row>
    <row r="11" spans="1:15" s="89" customFormat="1" ht="18.75" customHeight="1" x14ac:dyDescent="0.3">
      <c r="A11" s="47" t="s">
        <v>104</v>
      </c>
      <c r="B11" s="39">
        <v>3000</v>
      </c>
      <c r="C11" s="39">
        <v>9000</v>
      </c>
      <c r="D11" s="39">
        <v>10000</v>
      </c>
      <c r="E11" s="39">
        <v>10000</v>
      </c>
      <c r="F11" s="446">
        <v>10000</v>
      </c>
      <c r="G11" s="446">
        <v>17000</v>
      </c>
      <c r="H11" s="446">
        <v>18000</v>
      </c>
      <c r="I11" s="446">
        <v>18000</v>
      </c>
      <c r="J11" s="446">
        <v>18000</v>
      </c>
      <c r="K11" s="446">
        <v>18000</v>
      </c>
      <c r="L11" s="446">
        <v>16000</v>
      </c>
      <c r="M11" s="446">
        <v>18000</v>
      </c>
      <c r="N11" s="446">
        <v>20000</v>
      </c>
      <c r="O11" s="446">
        <v>22000</v>
      </c>
    </row>
    <row r="12" spans="1:15" s="89" customFormat="1" ht="18.75" customHeight="1" x14ac:dyDescent="0.3">
      <c r="A12" s="47" t="s">
        <v>101</v>
      </c>
      <c r="B12" s="39">
        <v>3000</v>
      </c>
      <c r="C12" s="39">
        <v>8000</v>
      </c>
      <c r="D12" s="39">
        <v>8000</v>
      </c>
      <c r="E12" s="39">
        <v>8000</v>
      </c>
      <c r="F12" s="446">
        <v>8000</v>
      </c>
      <c r="G12" s="446">
        <v>8000</v>
      </c>
      <c r="H12" s="446">
        <v>8000</v>
      </c>
      <c r="I12" s="446">
        <v>8500</v>
      </c>
      <c r="J12" s="446">
        <v>8000</v>
      </c>
      <c r="K12" s="446">
        <v>8000</v>
      </c>
      <c r="L12" s="446">
        <v>6000</v>
      </c>
      <c r="M12" s="446">
        <v>6000</v>
      </c>
      <c r="N12" s="446">
        <v>6000</v>
      </c>
      <c r="O12" s="446">
        <v>7000</v>
      </c>
    </row>
    <row r="13" spans="1:15" s="89" customFormat="1" ht="18.75" hidden="1" customHeight="1" x14ac:dyDescent="0.3">
      <c r="A13" s="42" t="s">
        <v>223</v>
      </c>
      <c r="B13" s="496">
        <v>1200</v>
      </c>
      <c r="C13" s="496">
        <v>1800</v>
      </c>
      <c r="D13" s="496">
        <f>150*12</f>
        <v>1800</v>
      </c>
      <c r="E13" s="496">
        <v>0</v>
      </c>
      <c r="F13" s="497"/>
      <c r="G13" s="497"/>
      <c r="H13" s="497"/>
      <c r="I13" s="497"/>
      <c r="J13" s="497"/>
      <c r="K13" s="497"/>
      <c r="L13" s="497"/>
      <c r="M13" s="497"/>
      <c r="N13" s="497"/>
      <c r="O13" s="497"/>
    </row>
    <row r="14" spans="1:15" ht="18" customHeight="1" x14ac:dyDescent="0.3">
      <c r="A14" s="179" t="s">
        <v>368</v>
      </c>
      <c r="B14" s="75">
        <v>800</v>
      </c>
      <c r="C14" s="75">
        <v>720</v>
      </c>
      <c r="D14" s="75">
        <f>(30*2*12)</f>
        <v>720</v>
      </c>
      <c r="E14" s="75">
        <f>(25*2*12)</f>
        <v>600</v>
      </c>
      <c r="F14" s="439">
        <v>600</v>
      </c>
      <c r="G14" s="439">
        <v>600</v>
      </c>
      <c r="H14" s="439">
        <f>64*12*2</f>
        <v>1536</v>
      </c>
      <c r="I14" s="439">
        <f>65*12*2</f>
        <v>1560</v>
      </c>
      <c r="J14" s="439">
        <f>70*12*2</f>
        <v>1680</v>
      </c>
      <c r="K14" s="439">
        <f>70*12*2</f>
        <v>1680</v>
      </c>
      <c r="L14" s="439">
        <f>70*12*2</f>
        <v>1680</v>
      </c>
      <c r="M14" s="439">
        <f>80*12*2</f>
        <v>1920</v>
      </c>
      <c r="N14" s="439">
        <f>90*12*2</f>
        <v>2160</v>
      </c>
      <c r="O14" s="439">
        <f>90*12*2</f>
        <v>2160</v>
      </c>
    </row>
    <row r="15" spans="1:15" ht="18.75" customHeight="1" x14ac:dyDescent="0.3">
      <c r="A15" s="42" t="s">
        <v>555</v>
      </c>
      <c r="B15" s="355">
        <v>625</v>
      </c>
      <c r="C15" s="355">
        <v>625</v>
      </c>
      <c r="D15" s="355">
        <v>650</v>
      </c>
      <c r="E15" s="355">
        <v>625</v>
      </c>
      <c r="F15" s="485">
        <v>700</v>
      </c>
      <c r="G15" s="485">
        <v>700</v>
      </c>
      <c r="H15" s="485">
        <v>700</v>
      </c>
      <c r="I15" s="485">
        <v>700</v>
      </c>
      <c r="J15" s="485">
        <v>750</v>
      </c>
      <c r="K15" s="485">
        <v>700</v>
      </c>
      <c r="L15" s="485">
        <v>700</v>
      </c>
      <c r="M15" s="485">
        <v>750</v>
      </c>
      <c r="N15" s="485">
        <v>800</v>
      </c>
      <c r="O15" s="485">
        <v>800</v>
      </c>
    </row>
    <row r="16" spans="1:15" ht="18.75" customHeight="1" x14ac:dyDescent="0.3">
      <c r="A16" s="50" t="s">
        <v>414</v>
      </c>
      <c r="B16" s="379"/>
      <c r="C16" s="379">
        <v>2000</v>
      </c>
      <c r="D16" s="379">
        <v>2000</v>
      </c>
      <c r="E16" s="379">
        <v>6000</v>
      </c>
      <c r="F16" s="442">
        <v>1200</v>
      </c>
      <c r="G16" s="442">
        <v>1200</v>
      </c>
      <c r="H16" s="442">
        <v>1200</v>
      </c>
      <c r="I16" s="442">
        <v>1400</v>
      </c>
      <c r="J16" s="442">
        <v>1500</v>
      </c>
      <c r="K16" s="442">
        <v>1500</v>
      </c>
      <c r="L16" s="442">
        <v>1000</v>
      </c>
      <c r="M16" s="442">
        <v>1000</v>
      </c>
      <c r="N16" s="442">
        <v>1500</v>
      </c>
      <c r="O16" s="442">
        <v>1500</v>
      </c>
    </row>
    <row r="17" spans="1:15" ht="18.75" customHeight="1" x14ac:dyDescent="0.3">
      <c r="A17" s="50" t="s">
        <v>325</v>
      </c>
      <c r="B17" s="379"/>
      <c r="C17" s="379">
        <v>1200</v>
      </c>
      <c r="D17" s="379">
        <v>1500</v>
      </c>
      <c r="E17" s="379">
        <v>1500</v>
      </c>
      <c r="F17" s="442">
        <v>1500</v>
      </c>
      <c r="G17" s="442">
        <v>1500</v>
      </c>
      <c r="H17" s="442">
        <v>1500</v>
      </c>
      <c r="I17" s="442">
        <v>1500</v>
      </c>
      <c r="J17" s="442">
        <v>1500</v>
      </c>
      <c r="K17" s="442">
        <v>1500</v>
      </c>
      <c r="L17" s="442">
        <v>1200</v>
      </c>
      <c r="M17" s="442">
        <v>1500</v>
      </c>
      <c r="N17" s="442">
        <v>2000</v>
      </c>
      <c r="O17" s="442">
        <v>2000</v>
      </c>
    </row>
    <row r="18" spans="1:15" ht="18.75" hidden="1" customHeight="1" x14ac:dyDescent="0.3">
      <c r="A18" s="50" t="s">
        <v>688</v>
      </c>
      <c r="B18" s="379"/>
      <c r="C18" s="379">
        <v>0</v>
      </c>
      <c r="D18" s="379">
        <v>0</v>
      </c>
      <c r="E18" s="379">
        <v>0</v>
      </c>
      <c r="F18" s="442"/>
      <c r="G18" s="442"/>
      <c r="H18" s="442"/>
      <c r="I18" s="442"/>
      <c r="J18" s="442"/>
      <c r="K18" s="442"/>
      <c r="L18" s="442"/>
      <c r="M18" s="442"/>
      <c r="N18" s="442"/>
      <c r="O18" s="442"/>
    </row>
    <row r="19" spans="1:15" ht="18.75" hidden="1" customHeight="1" x14ac:dyDescent="0.3">
      <c r="A19" s="50" t="s">
        <v>326</v>
      </c>
      <c r="B19" s="379"/>
      <c r="C19" s="379">
        <v>0</v>
      </c>
      <c r="D19" s="379">
        <v>0</v>
      </c>
      <c r="E19" s="379">
        <v>0</v>
      </c>
      <c r="F19" s="442"/>
      <c r="G19" s="442"/>
      <c r="H19" s="442"/>
      <c r="I19" s="442"/>
      <c r="J19" s="442"/>
      <c r="K19" s="442"/>
      <c r="L19" s="442">
        <v>22000</v>
      </c>
      <c r="M19" s="442">
        <v>0</v>
      </c>
      <c r="N19" s="442">
        <v>0</v>
      </c>
      <c r="O19" s="442">
        <v>0</v>
      </c>
    </row>
    <row r="20" spans="1:15" ht="18.75" customHeight="1" x14ac:dyDescent="0.3">
      <c r="A20" s="50" t="s">
        <v>776</v>
      </c>
      <c r="B20" s="498"/>
      <c r="C20" s="355">
        <v>0</v>
      </c>
      <c r="D20" s="355">
        <f>300*18</f>
        <v>5400</v>
      </c>
      <c r="E20" s="355">
        <f>1200*8</f>
        <v>9600</v>
      </c>
      <c r="F20" s="485"/>
      <c r="G20" s="485"/>
      <c r="H20" s="485"/>
      <c r="I20" s="485"/>
      <c r="J20" s="485"/>
      <c r="K20" s="485"/>
      <c r="L20" s="485"/>
      <c r="M20" s="485"/>
      <c r="N20" s="485"/>
      <c r="O20" s="485">
        <f>8*1000</f>
        <v>8000</v>
      </c>
    </row>
    <row r="21" spans="1:15" ht="18.75" hidden="1" customHeight="1" x14ac:dyDescent="0.3">
      <c r="A21" s="50" t="s">
        <v>435</v>
      </c>
      <c r="B21" s="498"/>
      <c r="C21" s="355">
        <v>0</v>
      </c>
      <c r="D21" s="355">
        <v>0</v>
      </c>
      <c r="E21" s="355">
        <f>550+500</f>
        <v>1050</v>
      </c>
      <c r="F21" s="485">
        <v>1100</v>
      </c>
      <c r="G21" s="485">
        <v>0</v>
      </c>
      <c r="H21" s="485">
        <v>0</v>
      </c>
      <c r="I21" s="485">
        <v>0</v>
      </c>
      <c r="J21" s="485">
        <v>0</v>
      </c>
      <c r="K21" s="485">
        <v>0</v>
      </c>
      <c r="L21" s="485">
        <v>0</v>
      </c>
      <c r="M21" s="485">
        <v>0</v>
      </c>
      <c r="N21" s="485">
        <v>0</v>
      </c>
      <c r="O21" s="485">
        <v>0</v>
      </c>
    </row>
    <row r="22" spans="1:15" ht="18.75" hidden="1" customHeight="1" x14ac:dyDescent="0.3">
      <c r="A22" s="50" t="s">
        <v>379</v>
      </c>
      <c r="B22" s="498"/>
      <c r="C22" s="355">
        <v>0</v>
      </c>
      <c r="D22" s="355">
        <v>0</v>
      </c>
      <c r="E22" s="355">
        <f>500+564</f>
        <v>1064</v>
      </c>
      <c r="F22" s="485">
        <v>1100</v>
      </c>
      <c r="G22" s="485">
        <v>0</v>
      </c>
      <c r="H22" s="485">
        <v>0</v>
      </c>
      <c r="I22" s="485">
        <v>0</v>
      </c>
      <c r="J22" s="485">
        <v>0</v>
      </c>
      <c r="K22" s="485"/>
      <c r="L22" s="485"/>
      <c r="M22" s="485"/>
      <c r="N22" s="485"/>
      <c r="O22" s="485"/>
    </row>
    <row r="23" spans="1:15" ht="18.75" customHeight="1" x14ac:dyDescent="0.3">
      <c r="A23" s="50" t="s">
        <v>413</v>
      </c>
      <c r="B23" s="498"/>
      <c r="C23" s="355"/>
      <c r="D23" s="355"/>
      <c r="E23" s="355">
        <v>12000</v>
      </c>
      <c r="F23" s="485">
        <v>16000</v>
      </c>
      <c r="G23" s="485">
        <v>16000</v>
      </c>
      <c r="H23" s="485">
        <v>16000</v>
      </c>
      <c r="I23" s="485">
        <v>6000</v>
      </c>
      <c r="J23" s="485">
        <v>6000</v>
      </c>
      <c r="K23" s="485"/>
      <c r="L23" s="485"/>
      <c r="M23" s="485">
        <v>12000</v>
      </c>
      <c r="N23" s="485">
        <v>14000</v>
      </c>
      <c r="O23" s="485">
        <v>50000</v>
      </c>
    </row>
    <row r="24" spans="1:15" ht="18.75" customHeight="1" x14ac:dyDescent="0.3">
      <c r="A24" s="50" t="s">
        <v>436</v>
      </c>
      <c r="B24" s="498"/>
      <c r="C24" s="355"/>
      <c r="D24" s="355"/>
      <c r="E24" s="355">
        <f>300*4</f>
        <v>1200</v>
      </c>
      <c r="F24" s="485">
        <v>1200</v>
      </c>
      <c r="G24" s="485">
        <v>1200</v>
      </c>
      <c r="H24" s="485">
        <v>1200</v>
      </c>
      <c r="I24" s="485">
        <v>1400</v>
      </c>
      <c r="J24" s="485">
        <v>1500</v>
      </c>
      <c r="K24" s="485">
        <v>1600</v>
      </c>
      <c r="L24" s="485">
        <v>1200</v>
      </c>
      <c r="M24" s="485">
        <v>2000</v>
      </c>
      <c r="N24" s="485">
        <v>3500</v>
      </c>
      <c r="O24" s="485">
        <v>5500</v>
      </c>
    </row>
    <row r="25" spans="1:15" ht="18.75" hidden="1" customHeight="1" x14ac:dyDescent="0.3">
      <c r="A25" s="50" t="s">
        <v>446</v>
      </c>
      <c r="B25" s="499"/>
      <c r="C25" s="379"/>
      <c r="D25" s="379"/>
      <c r="E25" s="379"/>
      <c r="F25" s="442">
        <v>20000</v>
      </c>
      <c r="G25" s="442">
        <v>0</v>
      </c>
      <c r="H25" s="442">
        <v>0</v>
      </c>
      <c r="I25" s="442">
        <v>0</v>
      </c>
      <c r="J25" s="442">
        <v>0</v>
      </c>
      <c r="K25" s="442">
        <v>0</v>
      </c>
      <c r="L25" s="442">
        <v>0</v>
      </c>
      <c r="M25" s="442">
        <v>0</v>
      </c>
      <c r="N25" s="442">
        <v>0</v>
      </c>
      <c r="O25" s="442">
        <v>0</v>
      </c>
    </row>
    <row r="26" spans="1:15" ht="18.75" hidden="1" customHeight="1" x14ac:dyDescent="0.3">
      <c r="A26" s="50" t="s">
        <v>450</v>
      </c>
      <c r="B26" s="499"/>
      <c r="C26" s="379"/>
      <c r="D26" s="379"/>
      <c r="E26" s="379"/>
      <c r="F26" s="442">
        <v>1800</v>
      </c>
      <c r="G26" s="442">
        <v>0</v>
      </c>
      <c r="H26" s="442">
        <v>0</v>
      </c>
      <c r="I26" s="442">
        <v>0</v>
      </c>
      <c r="J26" s="442">
        <v>0</v>
      </c>
      <c r="K26" s="442">
        <v>0</v>
      </c>
      <c r="L26" s="442">
        <v>0</v>
      </c>
      <c r="M26" s="442">
        <v>0</v>
      </c>
      <c r="N26" s="442">
        <v>0</v>
      </c>
      <c r="O26" s="442">
        <v>0</v>
      </c>
    </row>
    <row r="27" spans="1:15" ht="18.75" customHeight="1" x14ac:dyDescent="0.3">
      <c r="A27" s="50" t="s">
        <v>687</v>
      </c>
      <c r="B27" s="499"/>
      <c r="C27" s="379"/>
      <c r="D27" s="379"/>
      <c r="E27" s="379"/>
      <c r="F27" s="442">
        <v>3600</v>
      </c>
      <c r="G27" s="442">
        <v>30000</v>
      </c>
      <c r="H27" s="442">
        <v>35000</v>
      </c>
      <c r="I27" s="442">
        <v>0</v>
      </c>
      <c r="J27" s="442"/>
      <c r="K27" s="442">
        <v>25000</v>
      </c>
      <c r="L27" s="442"/>
      <c r="M27" s="442">
        <v>35000</v>
      </c>
      <c r="N27" s="442">
        <v>0</v>
      </c>
      <c r="O27" s="442">
        <v>0</v>
      </c>
    </row>
    <row r="28" spans="1:15" ht="18.75" customHeight="1" x14ac:dyDescent="0.3">
      <c r="A28" s="50" t="s">
        <v>594</v>
      </c>
      <c r="B28" s="499"/>
      <c r="C28" s="379"/>
      <c r="D28" s="379"/>
      <c r="E28" s="379"/>
      <c r="F28" s="442">
        <v>5000</v>
      </c>
      <c r="G28" s="442">
        <v>5000</v>
      </c>
      <c r="H28" s="442">
        <v>5000</v>
      </c>
      <c r="I28" s="442">
        <v>5000</v>
      </c>
      <c r="J28" s="442">
        <v>2000</v>
      </c>
      <c r="K28" s="442">
        <v>2000</v>
      </c>
      <c r="L28" s="442">
        <v>1000</v>
      </c>
      <c r="M28" s="442">
        <v>500</v>
      </c>
      <c r="N28" s="442">
        <v>500</v>
      </c>
      <c r="O28" s="442">
        <v>500</v>
      </c>
    </row>
    <row r="29" spans="1:15" ht="18.75" hidden="1" customHeight="1" x14ac:dyDescent="0.3">
      <c r="A29" s="50" t="s">
        <v>538</v>
      </c>
      <c r="B29" s="499"/>
      <c r="C29" s="379"/>
      <c r="D29" s="379"/>
      <c r="E29" s="379"/>
      <c r="F29" s="442">
        <v>0</v>
      </c>
      <c r="G29" s="442">
        <v>5000</v>
      </c>
      <c r="H29" s="442">
        <v>0</v>
      </c>
      <c r="I29" s="442">
        <v>10000</v>
      </c>
      <c r="J29" s="442">
        <v>0</v>
      </c>
      <c r="K29" s="442">
        <v>0</v>
      </c>
      <c r="L29" s="442">
        <v>0</v>
      </c>
      <c r="M29" s="442">
        <v>0</v>
      </c>
      <c r="N29" s="442">
        <v>0</v>
      </c>
      <c r="O29" s="442">
        <v>0</v>
      </c>
    </row>
    <row r="30" spans="1:15" ht="18.75" customHeight="1" x14ac:dyDescent="0.3">
      <c r="A30" s="50" t="s">
        <v>681</v>
      </c>
      <c r="B30" s="499"/>
      <c r="C30" s="379"/>
      <c r="D30" s="379"/>
      <c r="E30" s="379"/>
      <c r="F30" s="442">
        <v>0</v>
      </c>
      <c r="G30" s="442">
        <v>0</v>
      </c>
      <c r="H30" s="442">
        <v>12000</v>
      </c>
      <c r="I30" s="442">
        <v>14000</v>
      </c>
      <c r="J30" s="442">
        <v>18000</v>
      </c>
      <c r="K30" s="442">
        <v>18000</v>
      </c>
      <c r="L30" s="442">
        <v>18000</v>
      </c>
      <c r="M30" s="442">
        <v>20000</v>
      </c>
      <c r="N30" s="442">
        <v>22000</v>
      </c>
      <c r="O30" s="442">
        <v>22000</v>
      </c>
    </row>
    <row r="31" spans="1:15" ht="18.75" customHeight="1" x14ac:dyDescent="0.3">
      <c r="A31" s="50" t="s">
        <v>511</v>
      </c>
      <c r="B31" s="499"/>
      <c r="C31" s="379"/>
      <c r="D31" s="379"/>
      <c r="E31" s="379"/>
      <c r="F31" s="442">
        <v>0</v>
      </c>
      <c r="G31" s="442">
        <v>0</v>
      </c>
      <c r="H31" s="442">
        <v>4000</v>
      </c>
      <c r="I31" s="442">
        <v>3000</v>
      </c>
      <c r="J31" s="442">
        <v>3500</v>
      </c>
      <c r="K31" s="442">
        <v>3500</v>
      </c>
      <c r="L31" s="442">
        <v>3000</v>
      </c>
      <c r="M31" s="442">
        <v>2500</v>
      </c>
      <c r="N31" s="442">
        <v>3000</v>
      </c>
      <c r="O31" s="442">
        <v>3000</v>
      </c>
    </row>
    <row r="32" spans="1:15" ht="18.75" hidden="1" customHeight="1" x14ac:dyDescent="0.3">
      <c r="A32" s="50" t="s">
        <v>515</v>
      </c>
      <c r="B32" s="499"/>
      <c r="C32" s="379"/>
      <c r="D32" s="379"/>
      <c r="E32" s="379"/>
      <c r="F32" s="442"/>
      <c r="G32" s="442"/>
      <c r="H32" s="442">
        <v>9000</v>
      </c>
      <c r="I32" s="442">
        <v>0</v>
      </c>
      <c r="J32" s="442">
        <v>0</v>
      </c>
      <c r="K32" s="442">
        <v>0</v>
      </c>
      <c r="L32" s="442">
        <v>0</v>
      </c>
      <c r="M32" s="442">
        <v>0</v>
      </c>
      <c r="N32" s="442">
        <v>0</v>
      </c>
      <c r="O32" s="442">
        <v>0</v>
      </c>
    </row>
    <row r="33" spans="1:15" ht="18.75" hidden="1" customHeight="1" x14ac:dyDescent="0.3">
      <c r="A33" s="50" t="s">
        <v>550</v>
      </c>
      <c r="B33" s="499"/>
      <c r="C33" s="379"/>
      <c r="D33" s="379"/>
      <c r="E33" s="379"/>
      <c r="F33" s="442"/>
      <c r="G33" s="442"/>
      <c r="H33" s="442"/>
      <c r="I33" s="442">
        <v>1200</v>
      </c>
      <c r="J33" s="442">
        <v>0</v>
      </c>
      <c r="K33" s="442">
        <v>0</v>
      </c>
      <c r="L33" s="442">
        <v>0</v>
      </c>
      <c r="M33" s="442">
        <v>0</v>
      </c>
      <c r="N33" s="442">
        <v>0</v>
      </c>
      <c r="O33" s="442">
        <v>0</v>
      </c>
    </row>
    <row r="34" spans="1:15" ht="18.75" hidden="1" customHeight="1" x14ac:dyDescent="0.3">
      <c r="A34" s="50" t="s">
        <v>551</v>
      </c>
      <c r="B34" s="499"/>
      <c r="C34" s="379"/>
      <c r="D34" s="379"/>
      <c r="E34" s="379"/>
      <c r="F34" s="442"/>
      <c r="G34" s="442"/>
      <c r="H34" s="442"/>
      <c r="I34" s="442">
        <v>4500</v>
      </c>
      <c r="J34" s="442">
        <v>0</v>
      </c>
      <c r="K34" s="442">
        <v>0</v>
      </c>
      <c r="L34" s="442">
        <v>0</v>
      </c>
      <c r="M34" s="442">
        <v>0</v>
      </c>
      <c r="N34" s="442">
        <v>0</v>
      </c>
      <c r="O34" s="442">
        <v>0</v>
      </c>
    </row>
    <row r="35" spans="1:15" ht="18.75" hidden="1" customHeight="1" x14ac:dyDescent="0.3">
      <c r="A35" s="50" t="s">
        <v>552</v>
      </c>
      <c r="B35" s="499"/>
      <c r="C35" s="379"/>
      <c r="D35" s="379"/>
      <c r="E35" s="379"/>
      <c r="F35" s="442"/>
      <c r="G35" s="442"/>
      <c r="H35" s="442"/>
      <c r="I35" s="442">
        <f>15300+5000</f>
        <v>20300</v>
      </c>
      <c r="J35" s="442">
        <v>0</v>
      </c>
      <c r="K35" s="442">
        <v>0</v>
      </c>
      <c r="L35" s="442">
        <v>0</v>
      </c>
      <c r="M35" s="442">
        <v>0</v>
      </c>
      <c r="N35" s="442">
        <v>0</v>
      </c>
      <c r="O35" s="442">
        <v>0</v>
      </c>
    </row>
    <row r="36" spans="1:15" ht="18.75" hidden="1" customHeight="1" x14ac:dyDescent="0.3">
      <c r="A36" s="50" t="s">
        <v>620</v>
      </c>
      <c r="B36" s="499"/>
      <c r="C36" s="379"/>
      <c r="D36" s="379"/>
      <c r="E36" s="379"/>
      <c r="F36" s="442"/>
      <c r="G36" s="442"/>
      <c r="H36" s="442"/>
      <c r="I36" s="442">
        <v>7000</v>
      </c>
      <c r="J36" s="442">
        <v>0</v>
      </c>
      <c r="K36" s="442">
        <v>0</v>
      </c>
      <c r="L36" s="442">
        <v>0</v>
      </c>
      <c r="M36" s="442">
        <v>0</v>
      </c>
      <c r="N36" s="442">
        <v>0</v>
      </c>
      <c r="O36" s="442">
        <v>0</v>
      </c>
    </row>
    <row r="37" spans="1:15" ht="18.75" customHeight="1" x14ac:dyDescent="0.3">
      <c r="A37" s="50" t="s">
        <v>640</v>
      </c>
      <c r="B37" s="499"/>
      <c r="C37" s="379"/>
      <c r="D37" s="379"/>
      <c r="E37" s="379"/>
      <c r="F37" s="442"/>
      <c r="G37" s="442"/>
      <c r="H37" s="442"/>
      <c r="I37" s="442">
        <v>0</v>
      </c>
      <c r="J37" s="442"/>
      <c r="K37" s="442">
        <v>28000</v>
      </c>
      <c r="L37" s="442"/>
      <c r="M37" s="442">
        <v>60000</v>
      </c>
      <c r="N37" s="442">
        <v>0</v>
      </c>
      <c r="O37" s="442">
        <v>0</v>
      </c>
    </row>
    <row r="38" spans="1:15" ht="18.75" customHeight="1" x14ac:dyDescent="0.3">
      <c r="A38" s="50" t="s">
        <v>730</v>
      </c>
      <c r="B38" s="499"/>
      <c r="C38" s="379"/>
      <c r="D38" s="379"/>
      <c r="E38" s="379"/>
      <c r="F38" s="442"/>
      <c r="G38" s="442"/>
      <c r="H38" s="442"/>
      <c r="I38" s="442"/>
      <c r="J38" s="442"/>
      <c r="K38" s="442"/>
      <c r="L38" s="442">
        <v>28000</v>
      </c>
      <c r="M38" s="442">
        <v>0</v>
      </c>
      <c r="N38" s="442">
        <v>32000</v>
      </c>
      <c r="O38" s="442">
        <v>0</v>
      </c>
    </row>
    <row r="39" spans="1:15" ht="18.75" hidden="1" customHeight="1" x14ac:dyDescent="0.3">
      <c r="A39" s="50" t="s">
        <v>650</v>
      </c>
      <c r="B39" s="499"/>
      <c r="C39" s="379"/>
      <c r="D39" s="379"/>
      <c r="E39" s="379"/>
      <c r="F39" s="442"/>
      <c r="G39" s="442"/>
      <c r="H39" s="442"/>
      <c r="I39" s="442"/>
      <c r="J39" s="442"/>
      <c r="K39" s="442"/>
      <c r="L39" s="442">
        <v>10000</v>
      </c>
      <c r="M39" s="442">
        <v>0</v>
      </c>
      <c r="N39" s="442">
        <v>0</v>
      </c>
      <c r="O39" s="442">
        <v>0</v>
      </c>
    </row>
    <row r="40" spans="1:15" ht="18.75" customHeight="1" x14ac:dyDescent="0.3">
      <c r="A40" s="50" t="s">
        <v>727</v>
      </c>
      <c r="B40" s="499"/>
      <c r="C40" s="379"/>
      <c r="D40" s="379"/>
      <c r="E40" s="379"/>
      <c r="F40" s="442"/>
      <c r="G40" s="442"/>
      <c r="H40" s="442"/>
      <c r="I40" s="442"/>
      <c r="J40" s="442"/>
      <c r="K40" s="442"/>
      <c r="L40" s="442">
        <v>18000</v>
      </c>
      <c r="M40" s="442">
        <v>28000</v>
      </c>
      <c r="N40" s="442">
        <v>34000</v>
      </c>
      <c r="O40" s="442">
        <v>32000</v>
      </c>
    </row>
    <row r="41" spans="1:15" ht="18.75" customHeight="1" x14ac:dyDescent="0.3">
      <c r="A41" s="50" t="s">
        <v>651</v>
      </c>
      <c r="B41" s="499"/>
      <c r="C41" s="379"/>
      <c r="D41" s="379"/>
      <c r="E41" s="379"/>
      <c r="F41" s="442"/>
      <c r="G41" s="442"/>
      <c r="H41" s="442"/>
      <c r="I41" s="442"/>
      <c r="J41" s="442"/>
      <c r="K41" s="442"/>
      <c r="L41" s="442">
        <v>14000</v>
      </c>
      <c r="M41" s="442">
        <v>0</v>
      </c>
      <c r="N41" s="442">
        <v>0</v>
      </c>
      <c r="O41" s="442">
        <v>30000</v>
      </c>
    </row>
    <row r="42" spans="1:15" ht="18.75" hidden="1" customHeight="1" x14ac:dyDescent="0.3">
      <c r="A42" s="50" t="s">
        <v>669</v>
      </c>
      <c r="B42" s="499"/>
      <c r="C42" s="379"/>
      <c r="D42" s="379"/>
      <c r="E42" s="379"/>
      <c r="F42" s="442"/>
      <c r="G42" s="442"/>
      <c r="H42" s="442"/>
      <c r="I42" s="442"/>
      <c r="J42" s="442"/>
      <c r="K42" s="442"/>
      <c r="L42" s="442">
        <v>35000</v>
      </c>
      <c r="M42" s="442">
        <v>0</v>
      </c>
      <c r="N42" s="442">
        <v>0</v>
      </c>
      <c r="O42" s="442">
        <v>0</v>
      </c>
    </row>
    <row r="43" spans="1:15" ht="18.75" customHeight="1" x14ac:dyDescent="0.3">
      <c r="A43" s="50" t="s">
        <v>703</v>
      </c>
      <c r="B43" s="499"/>
      <c r="C43" s="379"/>
      <c r="D43" s="379"/>
      <c r="E43" s="379"/>
      <c r="F43" s="442"/>
      <c r="G43" s="442"/>
      <c r="H43" s="442"/>
      <c r="I43" s="442"/>
      <c r="J43" s="442"/>
      <c r="K43" s="442"/>
      <c r="L43" s="442"/>
      <c r="M43" s="442">
        <v>16000</v>
      </c>
      <c r="N43" s="442">
        <v>0</v>
      </c>
      <c r="O43" s="442">
        <v>0</v>
      </c>
    </row>
    <row r="44" spans="1:15" ht="18.75" customHeight="1" x14ac:dyDescent="0.3">
      <c r="A44" s="50" t="s">
        <v>773</v>
      </c>
      <c r="B44" s="499"/>
      <c r="C44" s="379"/>
      <c r="D44" s="379"/>
      <c r="E44" s="379"/>
      <c r="F44" s="442"/>
      <c r="G44" s="442"/>
      <c r="H44" s="442"/>
      <c r="I44" s="442"/>
      <c r="J44" s="442"/>
      <c r="K44" s="442"/>
      <c r="L44" s="442"/>
      <c r="M44" s="442">
        <v>5000</v>
      </c>
      <c r="N44" s="442">
        <v>0</v>
      </c>
      <c r="O44" s="442">
        <v>0</v>
      </c>
    </row>
    <row r="45" spans="1:15" ht="18.75" customHeight="1" x14ac:dyDescent="0.3">
      <c r="A45" s="50" t="s">
        <v>696</v>
      </c>
      <c r="B45" s="499"/>
      <c r="C45" s="379"/>
      <c r="D45" s="379"/>
      <c r="E45" s="379"/>
      <c r="F45" s="442"/>
      <c r="G45" s="442"/>
      <c r="H45" s="442"/>
      <c r="I45" s="442"/>
      <c r="J45" s="442"/>
      <c r="K45" s="442"/>
      <c r="L45" s="442"/>
      <c r="M45" s="442">
        <v>7500</v>
      </c>
      <c r="N45" s="442">
        <v>0</v>
      </c>
      <c r="O45" s="442">
        <v>0</v>
      </c>
    </row>
    <row r="46" spans="1:15" ht="18.75" customHeight="1" x14ac:dyDescent="0.3">
      <c r="A46" s="50" t="s">
        <v>756</v>
      </c>
      <c r="B46" s="499"/>
      <c r="C46" s="379"/>
      <c r="D46" s="379"/>
      <c r="E46" s="379"/>
      <c r="F46" s="442"/>
      <c r="G46" s="442"/>
      <c r="H46" s="442"/>
      <c r="I46" s="442"/>
      <c r="J46" s="442"/>
      <c r="K46" s="442"/>
      <c r="L46" s="442"/>
      <c r="M46" s="442"/>
      <c r="N46" s="442"/>
      <c r="O46" s="442">
        <v>2500</v>
      </c>
    </row>
    <row r="47" spans="1:15" ht="18.75" customHeight="1" x14ac:dyDescent="0.3">
      <c r="A47" s="50" t="s">
        <v>757</v>
      </c>
      <c r="B47" s="499"/>
      <c r="C47" s="379"/>
      <c r="D47" s="379"/>
      <c r="E47" s="379"/>
      <c r="F47" s="442"/>
      <c r="G47" s="442"/>
      <c r="H47" s="442"/>
      <c r="I47" s="442"/>
      <c r="J47" s="442"/>
      <c r="K47" s="442"/>
      <c r="L47" s="442"/>
      <c r="M47" s="442"/>
      <c r="N47" s="442"/>
      <c r="O47" s="442">
        <v>1500</v>
      </c>
    </row>
    <row r="48" spans="1:15" ht="18.75" customHeight="1" x14ac:dyDescent="0.3">
      <c r="A48" s="50" t="s">
        <v>772</v>
      </c>
      <c r="B48" s="499"/>
      <c r="C48" s="379"/>
      <c r="D48" s="379"/>
      <c r="E48" s="379"/>
      <c r="F48" s="442"/>
      <c r="G48" s="442"/>
      <c r="H48" s="442"/>
      <c r="I48" s="442"/>
      <c r="J48" s="442"/>
      <c r="K48" s="442"/>
      <c r="L48" s="442"/>
      <c r="M48" s="442"/>
      <c r="N48" s="442"/>
      <c r="O48" s="442">
        <v>40000</v>
      </c>
    </row>
    <row r="49" spans="1:15" ht="18.75" customHeight="1" x14ac:dyDescent="0.3">
      <c r="B49" s="499"/>
      <c r="C49" s="379"/>
      <c r="D49" s="379"/>
      <c r="E49" s="379"/>
      <c r="F49" s="442"/>
      <c r="G49" s="442"/>
      <c r="H49" s="442"/>
      <c r="I49" s="442"/>
      <c r="J49" s="442"/>
      <c r="K49" s="442"/>
      <c r="L49" s="442"/>
      <c r="M49" s="442"/>
      <c r="N49" s="442"/>
      <c r="O49" s="442"/>
    </row>
    <row r="50" spans="1:15" ht="18.75" customHeight="1" thickBot="1" x14ac:dyDescent="0.35">
      <c r="A50" s="50"/>
      <c r="B50" s="500">
        <v>4500</v>
      </c>
      <c r="C50" s="501"/>
      <c r="D50" s="501"/>
      <c r="E50" s="501"/>
      <c r="F50" s="502"/>
      <c r="G50" s="502"/>
      <c r="H50" s="502"/>
      <c r="I50" s="502"/>
      <c r="J50" s="502"/>
      <c r="K50" s="502"/>
      <c r="L50" s="502"/>
      <c r="M50" s="502"/>
      <c r="N50" s="502"/>
      <c r="O50" s="502"/>
    </row>
    <row r="51" spans="1:15" ht="18.75" customHeight="1" thickTop="1" x14ac:dyDescent="0.3">
      <c r="A51" s="73" t="s">
        <v>95</v>
      </c>
      <c r="B51" s="189">
        <f t="shared" ref="B51:K51" si="1">SUM(B4:B50)</f>
        <v>28725</v>
      </c>
      <c r="C51" s="189">
        <f t="shared" si="1"/>
        <v>42495</v>
      </c>
      <c r="D51" s="189">
        <f t="shared" si="1"/>
        <v>55752</v>
      </c>
      <c r="E51" s="189">
        <f t="shared" si="1"/>
        <v>66811</v>
      </c>
      <c r="F51" s="478">
        <f t="shared" si="1"/>
        <v>87400</v>
      </c>
      <c r="G51" s="478">
        <f t="shared" si="1"/>
        <v>102200</v>
      </c>
      <c r="H51" s="478">
        <f t="shared" si="1"/>
        <v>129136</v>
      </c>
      <c r="I51" s="478">
        <f t="shared" si="1"/>
        <v>119560</v>
      </c>
      <c r="J51" s="478">
        <f t="shared" si="1"/>
        <v>77830</v>
      </c>
      <c r="K51" s="478">
        <f t="shared" si="1"/>
        <v>123880</v>
      </c>
      <c r="L51" s="478">
        <f>SUM(L4:L50)</f>
        <v>190480</v>
      </c>
      <c r="M51" s="478">
        <f>SUM(M4:M50)</f>
        <v>232320</v>
      </c>
      <c r="N51" s="478">
        <f>SUM(N4:N50)</f>
        <v>160960</v>
      </c>
      <c r="O51" s="478">
        <f>SUM(O4:O50)</f>
        <v>251610</v>
      </c>
    </row>
    <row r="52" spans="1:15" s="36" customFormat="1" ht="18.75" customHeight="1" x14ac:dyDescent="0.3">
      <c r="A52" s="18"/>
      <c r="B52" s="18"/>
    </row>
    <row r="53" spans="1:15" ht="18.75" customHeight="1" x14ac:dyDescent="0.3">
      <c r="A53" s="18"/>
      <c r="B53" s="18"/>
    </row>
    <row r="54" spans="1:15" ht="18.75" customHeight="1" x14ac:dyDescent="0.3">
      <c r="A54" s="18"/>
      <c r="B54" s="18"/>
    </row>
    <row r="55" spans="1:15" ht="18.75" customHeight="1" x14ac:dyDescent="0.3">
      <c r="A55" s="18"/>
      <c r="B55" s="18"/>
    </row>
    <row r="56" spans="1:15" ht="18.75" customHeight="1" x14ac:dyDescent="0.3">
      <c r="A56" s="18"/>
      <c r="B56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20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9" bestFit="1" customWidth="1"/>
    <col min="2" max="2" width="11" style="10" hidden="1" customWidth="1"/>
    <col min="3" max="8" width="11" style="66" hidden="1" customWidth="1"/>
    <col min="9" max="12" width="0" style="66" hidden="1" customWidth="1"/>
    <col min="13" max="16384" width="9.140625" style="66"/>
  </cols>
  <sheetData>
    <row r="1" spans="1:15" s="140" customFormat="1" ht="18.75" customHeight="1" x14ac:dyDescent="0.3">
      <c r="A1" s="167" t="s">
        <v>415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40" customFormat="1" ht="18.75" customHeight="1" x14ac:dyDescent="0.3">
      <c r="A3" s="337" t="s">
        <v>97</v>
      </c>
      <c r="B3" s="338">
        <v>2010</v>
      </c>
      <c r="C3" s="338">
        <v>2013</v>
      </c>
      <c r="D3" s="338">
        <v>2014</v>
      </c>
      <c r="E3" s="338">
        <v>2015</v>
      </c>
      <c r="F3" s="338">
        <v>2016</v>
      </c>
      <c r="G3" s="338">
        <v>2017</v>
      </c>
      <c r="H3" s="338">
        <v>2018</v>
      </c>
      <c r="I3" s="338">
        <v>2019</v>
      </c>
      <c r="J3" s="338">
        <v>2020</v>
      </c>
      <c r="K3" s="338">
        <v>2021</v>
      </c>
      <c r="L3" s="338">
        <v>2022</v>
      </c>
      <c r="M3" s="338">
        <v>2023</v>
      </c>
      <c r="N3" s="338">
        <v>2024</v>
      </c>
      <c r="O3" s="338">
        <v>2025</v>
      </c>
    </row>
    <row r="4" spans="1:15" s="140" customFormat="1" ht="18.75" customHeight="1" x14ac:dyDescent="0.3">
      <c r="A4" s="335"/>
      <c r="B4" s="336"/>
      <c r="C4" s="336"/>
      <c r="D4" s="336"/>
      <c r="E4" s="336"/>
      <c r="F4" s="466"/>
      <c r="G4" s="466"/>
      <c r="H4" s="466"/>
      <c r="I4" s="466"/>
      <c r="J4" s="466"/>
      <c r="K4" s="466"/>
      <c r="L4" s="466"/>
      <c r="M4" s="466"/>
      <c r="N4" s="466"/>
      <c r="O4" s="466"/>
    </row>
    <row r="5" spans="1:15" s="140" customFormat="1" ht="18.75" customHeight="1" x14ac:dyDescent="0.3">
      <c r="A5" s="47" t="s">
        <v>471</v>
      </c>
      <c r="B5" s="39">
        <v>100</v>
      </c>
      <c r="C5" s="39">
        <v>200</v>
      </c>
      <c r="D5" s="39">
        <v>200</v>
      </c>
      <c r="E5" s="39">
        <v>200</v>
      </c>
      <c r="F5" s="446">
        <v>200</v>
      </c>
      <c r="G5" s="446">
        <v>200</v>
      </c>
      <c r="H5" s="446">
        <v>200</v>
      </c>
      <c r="I5" s="446">
        <v>200</v>
      </c>
      <c r="J5" s="446">
        <v>200</v>
      </c>
      <c r="K5" s="446">
        <v>100</v>
      </c>
      <c r="L5" s="446">
        <v>100</v>
      </c>
      <c r="M5" s="446">
        <v>100</v>
      </c>
      <c r="N5" s="446">
        <v>250</v>
      </c>
      <c r="O5" s="446">
        <v>250</v>
      </c>
    </row>
    <row r="6" spans="1:15" s="140" customFormat="1" ht="18.75" customHeight="1" x14ac:dyDescent="0.3">
      <c r="A6" s="47" t="s">
        <v>146</v>
      </c>
      <c r="B6" s="39">
        <v>1000</v>
      </c>
      <c r="C6" s="39">
        <v>600</v>
      </c>
      <c r="D6" s="39">
        <v>600</v>
      </c>
      <c r="E6" s="39">
        <v>600</v>
      </c>
      <c r="F6" s="446">
        <v>600</v>
      </c>
      <c r="G6" s="446">
        <v>600</v>
      </c>
      <c r="H6" s="446">
        <v>600</v>
      </c>
      <c r="I6" s="446">
        <v>600</v>
      </c>
      <c r="J6" s="446">
        <v>600</v>
      </c>
      <c r="K6" s="446">
        <v>300</v>
      </c>
      <c r="L6" s="446">
        <v>300</v>
      </c>
      <c r="M6" s="446">
        <v>300</v>
      </c>
      <c r="N6" s="446">
        <v>400</v>
      </c>
      <c r="O6" s="446">
        <v>400</v>
      </c>
    </row>
    <row r="7" spans="1:15" s="140" customFormat="1" ht="18.75" customHeight="1" x14ac:dyDescent="0.3">
      <c r="A7" s="47" t="s">
        <v>148</v>
      </c>
      <c r="B7" s="39">
        <v>300</v>
      </c>
      <c r="C7" s="39">
        <v>500</v>
      </c>
      <c r="D7" s="39">
        <v>600</v>
      </c>
      <c r="E7" s="39">
        <v>600</v>
      </c>
      <c r="F7" s="446">
        <v>600</v>
      </c>
      <c r="G7" s="446">
        <v>800</v>
      </c>
      <c r="H7" s="446">
        <v>800</v>
      </c>
      <c r="I7" s="446">
        <v>1000</v>
      </c>
      <c r="J7" s="446">
        <v>1000</v>
      </c>
      <c r="K7" s="446">
        <v>1000</v>
      </c>
      <c r="L7" s="446">
        <v>600</v>
      </c>
      <c r="M7" s="446">
        <v>600</v>
      </c>
      <c r="N7" s="446">
        <v>1000</v>
      </c>
      <c r="O7" s="446">
        <v>1000</v>
      </c>
    </row>
    <row r="8" spans="1:15" s="140" customFormat="1" ht="18.75" customHeight="1" x14ac:dyDescent="0.3">
      <c r="A8" s="42" t="s">
        <v>721</v>
      </c>
      <c r="B8" s="39">
        <v>6900</v>
      </c>
      <c r="C8" s="39">
        <v>2400</v>
      </c>
      <c r="D8" s="39">
        <f>2400+600+600</f>
        <v>3600</v>
      </c>
      <c r="E8" s="39">
        <f>(176.9*2*12)</f>
        <v>4245.6000000000004</v>
      </c>
      <c r="F8" s="446">
        <f>(176.9*2*12)</f>
        <v>4245.6000000000004</v>
      </c>
      <c r="G8" s="446">
        <f>(176.9*2*12)</f>
        <v>4245.6000000000004</v>
      </c>
      <c r="H8" s="446">
        <f>(176.9*2*12)</f>
        <v>4245.6000000000004</v>
      </c>
      <c r="I8" s="446">
        <v>1400</v>
      </c>
      <c r="J8" s="446">
        <f>700*2</f>
        <v>1400</v>
      </c>
      <c r="K8" s="446">
        <f>700*2</f>
        <v>1400</v>
      </c>
      <c r="L8" s="446">
        <f>700*2</f>
        <v>1400</v>
      </c>
      <c r="M8" s="446">
        <f>2500*2</f>
        <v>5000</v>
      </c>
      <c r="N8" s="446">
        <f>200*2*12</f>
        <v>4800</v>
      </c>
      <c r="O8" s="446">
        <f>200*2*12</f>
        <v>4800</v>
      </c>
    </row>
    <row r="9" spans="1:15" s="140" customFormat="1" ht="18.75" customHeight="1" x14ac:dyDescent="0.3">
      <c r="A9" s="47" t="s">
        <v>145</v>
      </c>
      <c r="B9" s="39">
        <v>600</v>
      </c>
      <c r="C9" s="39">
        <v>500</v>
      </c>
      <c r="D9" s="39">
        <v>600</v>
      </c>
      <c r="E9" s="39">
        <v>600</v>
      </c>
      <c r="F9" s="446">
        <v>700</v>
      </c>
      <c r="G9" s="446">
        <v>800</v>
      </c>
      <c r="H9" s="446">
        <v>800</v>
      </c>
      <c r="I9" s="446">
        <v>1500</v>
      </c>
      <c r="J9" s="446">
        <v>1500</v>
      </c>
      <c r="K9" s="446">
        <v>1500</v>
      </c>
      <c r="L9" s="446">
        <v>1000</v>
      </c>
      <c r="M9" s="446">
        <v>1200</v>
      </c>
      <c r="N9" s="446">
        <v>2000</v>
      </c>
      <c r="O9" s="446">
        <v>2000</v>
      </c>
    </row>
    <row r="10" spans="1:15" ht="18.75" customHeight="1" x14ac:dyDescent="0.3">
      <c r="A10" s="47" t="s">
        <v>144</v>
      </c>
      <c r="B10" s="39">
        <v>100</v>
      </c>
      <c r="C10" s="39">
        <v>100</v>
      </c>
      <c r="D10" s="39">
        <v>100</v>
      </c>
      <c r="E10" s="39">
        <v>100</v>
      </c>
      <c r="F10" s="446">
        <v>150</v>
      </c>
      <c r="G10" s="446">
        <v>150</v>
      </c>
      <c r="H10" s="446">
        <v>150</v>
      </c>
      <c r="I10" s="446">
        <v>250</v>
      </c>
      <c r="J10" s="446">
        <v>250</v>
      </c>
      <c r="K10" s="446">
        <v>250</v>
      </c>
      <c r="L10" s="446">
        <v>250</v>
      </c>
      <c r="M10" s="446">
        <v>250</v>
      </c>
      <c r="N10" s="446">
        <v>1000</v>
      </c>
      <c r="O10" s="446">
        <v>1000</v>
      </c>
    </row>
    <row r="11" spans="1:15" ht="18.75" customHeight="1" x14ac:dyDescent="0.3">
      <c r="A11" s="47" t="s">
        <v>472</v>
      </c>
      <c r="B11" s="39">
        <v>2200</v>
      </c>
      <c r="C11" s="39">
        <v>1500</v>
      </c>
      <c r="D11" s="39">
        <v>1600</v>
      </c>
      <c r="E11" s="39">
        <v>1600</v>
      </c>
      <c r="F11" s="446">
        <v>1600</v>
      </c>
      <c r="G11" s="446">
        <v>1600</v>
      </c>
      <c r="H11" s="446">
        <v>1600</v>
      </c>
      <c r="I11" s="446">
        <v>1200</v>
      </c>
      <c r="J11" s="446">
        <v>1200</v>
      </c>
      <c r="K11" s="446">
        <v>800</v>
      </c>
      <c r="L11" s="446">
        <v>600</v>
      </c>
      <c r="M11" s="446">
        <v>600</v>
      </c>
      <c r="N11" s="446">
        <v>750</v>
      </c>
      <c r="O11" s="446">
        <v>800</v>
      </c>
    </row>
    <row r="12" spans="1:15" ht="18.75" customHeight="1" x14ac:dyDescent="0.3">
      <c r="A12" s="47" t="s">
        <v>147</v>
      </c>
      <c r="B12" s="39">
        <v>500</v>
      </c>
      <c r="C12" s="39">
        <v>300</v>
      </c>
      <c r="D12" s="39">
        <v>250</v>
      </c>
      <c r="E12" s="39">
        <v>200</v>
      </c>
      <c r="F12" s="446">
        <v>200</v>
      </c>
      <c r="G12" s="446">
        <v>250</v>
      </c>
      <c r="H12" s="446">
        <v>250</v>
      </c>
      <c r="I12" s="446">
        <v>1200</v>
      </c>
      <c r="J12" s="446">
        <v>600</v>
      </c>
      <c r="K12" s="446">
        <v>400</v>
      </c>
      <c r="L12" s="446">
        <v>200</v>
      </c>
      <c r="M12" s="446">
        <v>200</v>
      </c>
      <c r="N12" s="446">
        <v>300</v>
      </c>
      <c r="O12" s="446">
        <v>300</v>
      </c>
    </row>
    <row r="13" spans="1:15" ht="18.75" customHeight="1" x14ac:dyDescent="0.3">
      <c r="A13" s="47" t="s">
        <v>473</v>
      </c>
      <c r="B13" s="39"/>
      <c r="C13" s="39">
        <v>750</v>
      </c>
      <c r="D13" s="39">
        <v>700</v>
      </c>
      <c r="E13" s="39">
        <v>700</v>
      </c>
      <c r="F13" s="446">
        <v>700</v>
      </c>
      <c r="G13" s="446">
        <v>700</v>
      </c>
      <c r="H13" s="446">
        <v>1500</v>
      </c>
      <c r="I13" s="446">
        <v>2200</v>
      </c>
      <c r="J13" s="446">
        <v>2200</v>
      </c>
      <c r="K13" s="446">
        <v>2100</v>
      </c>
      <c r="L13" s="446">
        <v>1500</v>
      </c>
      <c r="M13" s="446">
        <v>1500</v>
      </c>
      <c r="N13" s="446">
        <v>2000</v>
      </c>
      <c r="O13" s="446">
        <v>2500</v>
      </c>
    </row>
    <row r="14" spans="1:15" ht="18.75" customHeight="1" x14ac:dyDescent="0.3">
      <c r="A14" s="47" t="s">
        <v>474</v>
      </c>
      <c r="B14" s="39"/>
      <c r="C14" s="39">
        <v>750</v>
      </c>
      <c r="D14" s="39">
        <f>750+800</f>
        <v>1550</v>
      </c>
      <c r="E14" s="39">
        <v>1600</v>
      </c>
      <c r="F14" s="446">
        <v>1600</v>
      </c>
      <c r="G14" s="446">
        <v>1600</v>
      </c>
      <c r="H14" s="446">
        <v>1600</v>
      </c>
      <c r="I14" s="446">
        <v>1750</v>
      </c>
      <c r="J14" s="446">
        <v>1750</v>
      </c>
      <c r="K14" s="446">
        <v>1750</v>
      </c>
      <c r="L14" s="446">
        <v>1000</v>
      </c>
      <c r="M14" s="446">
        <v>1000</v>
      </c>
      <c r="N14" s="446">
        <v>1500</v>
      </c>
      <c r="O14" s="446">
        <v>1800</v>
      </c>
    </row>
    <row r="15" spans="1:15" ht="18.75" customHeight="1" x14ac:dyDescent="0.3">
      <c r="A15" s="43"/>
      <c r="B15" s="39"/>
      <c r="C15" s="39"/>
      <c r="D15" s="39"/>
      <c r="E15" s="39"/>
      <c r="F15" s="446"/>
      <c r="G15" s="446"/>
      <c r="H15" s="446"/>
      <c r="I15" s="446"/>
      <c r="J15" s="446"/>
      <c r="K15" s="446"/>
      <c r="L15" s="446"/>
      <c r="M15" s="446"/>
      <c r="N15" s="446"/>
      <c r="O15" s="446"/>
    </row>
    <row r="16" spans="1:15" ht="18.75" customHeight="1" x14ac:dyDescent="0.3">
      <c r="A16" s="43"/>
      <c r="B16" s="72"/>
      <c r="C16" s="72"/>
      <c r="D16" s="72"/>
      <c r="E16" s="72"/>
      <c r="F16" s="467"/>
      <c r="G16" s="467"/>
      <c r="H16" s="467"/>
      <c r="I16" s="467"/>
      <c r="J16" s="467"/>
      <c r="K16" s="467"/>
      <c r="L16" s="467"/>
      <c r="M16" s="467"/>
      <c r="N16" s="467"/>
      <c r="O16" s="467"/>
    </row>
    <row r="17" spans="1:15" ht="18.75" customHeight="1" thickBot="1" x14ac:dyDescent="0.35">
      <c r="A17" s="43"/>
      <c r="B17" s="72">
        <v>-3400</v>
      </c>
      <c r="C17" s="72"/>
      <c r="D17" s="72"/>
      <c r="E17" s="72"/>
      <c r="F17" s="467"/>
      <c r="G17" s="467"/>
      <c r="H17" s="467"/>
      <c r="I17" s="467"/>
      <c r="J17" s="467"/>
      <c r="K17" s="467"/>
      <c r="L17" s="467"/>
      <c r="M17" s="467"/>
      <c r="N17" s="467"/>
      <c r="O17" s="467"/>
    </row>
    <row r="18" spans="1:15" ht="18.75" customHeight="1" thickTop="1" x14ac:dyDescent="0.3">
      <c r="A18" s="73" t="s">
        <v>95</v>
      </c>
      <c r="B18" s="61">
        <f t="shared" ref="B18:H18" si="0">SUM(B4:B17)</f>
        <v>8300</v>
      </c>
      <c r="C18" s="61">
        <f t="shared" si="0"/>
        <v>7600</v>
      </c>
      <c r="D18" s="61">
        <f t="shared" si="0"/>
        <v>9800</v>
      </c>
      <c r="E18" s="61">
        <f t="shared" si="0"/>
        <v>10445.6</v>
      </c>
      <c r="F18" s="468">
        <f t="shared" si="0"/>
        <v>10595.6</v>
      </c>
      <c r="G18" s="468">
        <f t="shared" si="0"/>
        <v>10945.6</v>
      </c>
      <c r="H18" s="468">
        <f t="shared" si="0"/>
        <v>11745.6</v>
      </c>
      <c r="I18" s="468">
        <f t="shared" ref="I18:N18" si="1">SUM(I4:I17)</f>
        <v>11300</v>
      </c>
      <c r="J18" s="468">
        <f t="shared" si="1"/>
        <v>10700</v>
      </c>
      <c r="K18" s="468">
        <f t="shared" si="1"/>
        <v>9600</v>
      </c>
      <c r="L18" s="468">
        <f t="shared" si="1"/>
        <v>6950</v>
      </c>
      <c r="M18" s="468">
        <f t="shared" si="1"/>
        <v>10750</v>
      </c>
      <c r="N18" s="468">
        <f t="shared" si="1"/>
        <v>14000</v>
      </c>
      <c r="O18" s="468">
        <f>SUM(O4:O17)</f>
        <v>14850</v>
      </c>
    </row>
    <row r="19" spans="1:15" ht="18.75" customHeight="1" x14ac:dyDescent="0.3">
      <c r="A19" s="67"/>
      <c r="B19" s="35"/>
      <c r="C19" s="18"/>
    </row>
    <row r="20" spans="1:15" ht="18.75" customHeight="1" x14ac:dyDescent="0.3">
      <c r="A20" s="67"/>
      <c r="B20" s="35"/>
      <c r="C20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19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2.42578125" style="67" bestFit="1" customWidth="1"/>
    <col min="2" max="2" width="10.7109375" style="35" hidden="1" customWidth="1"/>
    <col min="3" max="8" width="10.710937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416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84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15" s="89" customFormat="1" ht="24.95" hidden="1" customHeight="1" x14ac:dyDescent="0.3">
      <c r="A5" s="47" t="s">
        <v>374</v>
      </c>
      <c r="B5" s="147">
        <v>4500</v>
      </c>
      <c r="C5" s="147">
        <v>3000</v>
      </c>
      <c r="D5" s="147">
        <v>3200</v>
      </c>
      <c r="E5" s="147">
        <v>2600</v>
      </c>
      <c r="F5" s="401">
        <v>2600</v>
      </c>
      <c r="G5" s="401">
        <v>2600</v>
      </c>
      <c r="H5" s="401"/>
      <c r="I5" s="401"/>
      <c r="J5" s="401"/>
      <c r="K5" s="401"/>
      <c r="L5" s="401"/>
      <c r="M5" s="401"/>
      <c r="N5" s="401"/>
      <c r="O5" s="401"/>
    </row>
    <row r="6" spans="1:15" s="89" customFormat="1" ht="24.95" customHeight="1" x14ac:dyDescent="0.3">
      <c r="A6" s="47" t="s">
        <v>642</v>
      </c>
      <c r="B6" s="147">
        <v>200</v>
      </c>
      <c r="C6" s="147">
        <v>200</v>
      </c>
      <c r="D6" s="147">
        <v>300</v>
      </c>
      <c r="E6" s="147">
        <v>300</v>
      </c>
      <c r="F6" s="401">
        <v>300</v>
      </c>
      <c r="G6" s="401">
        <v>300</v>
      </c>
      <c r="H6" s="401">
        <v>300</v>
      </c>
      <c r="I6" s="401">
        <v>500</v>
      </c>
      <c r="J6" s="401">
        <v>800</v>
      </c>
      <c r="K6" s="401">
        <v>800</v>
      </c>
      <c r="L6" s="401">
        <v>800</v>
      </c>
      <c r="M6" s="401">
        <v>800</v>
      </c>
      <c r="N6" s="401">
        <v>1000</v>
      </c>
      <c r="O6" s="401">
        <v>1200</v>
      </c>
    </row>
    <row r="7" spans="1:15" s="180" customFormat="1" ht="24.95" customHeight="1" x14ac:dyDescent="0.3">
      <c r="A7" s="87" t="s">
        <v>451</v>
      </c>
      <c r="B7" s="147">
        <v>3500</v>
      </c>
      <c r="C7" s="147">
        <v>5000</v>
      </c>
      <c r="D7" s="147">
        <v>5000</v>
      </c>
      <c r="E7" s="147">
        <v>3500</v>
      </c>
      <c r="F7" s="401">
        <v>3800</v>
      </c>
      <c r="G7" s="401">
        <v>3800</v>
      </c>
      <c r="H7" s="401">
        <f>3800+2600</f>
        <v>6400</v>
      </c>
      <c r="I7" s="401">
        <f>4000+3000</f>
        <v>7000</v>
      </c>
      <c r="J7" s="401">
        <f>4000+3000</f>
        <v>7000</v>
      </c>
      <c r="K7" s="401">
        <f>4000+3000</f>
        <v>7000</v>
      </c>
      <c r="L7" s="401">
        <f>3000+2000</f>
        <v>5000</v>
      </c>
      <c r="M7" s="401">
        <f>3000+2000</f>
        <v>5000</v>
      </c>
      <c r="N7" s="401">
        <f>3000+2000</f>
        <v>5000</v>
      </c>
      <c r="O7" s="401">
        <v>6000</v>
      </c>
    </row>
    <row r="8" spans="1:15" ht="24.95" customHeight="1" x14ac:dyDescent="0.3">
      <c r="A8" s="47" t="s">
        <v>597</v>
      </c>
      <c r="B8" s="44">
        <v>600</v>
      </c>
      <c r="C8" s="44">
        <v>500</v>
      </c>
      <c r="D8" s="44">
        <v>600</v>
      </c>
      <c r="E8" s="44">
        <v>600</v>
      </c>
      <c r="F8" s="395">
        <v>600</v>
      </c>
      <c r="G8" s="395">
        <v>600</v>
      </c>
      <c r="H8" s="395">
        <v>800</v>
      </c>
      <c r="I8" s="395">
        <v>800</v>
      </c>
      <c r="J8" s="395">
        <v>800</v>
      </c>
      <c r="K8" s="395">
        <v>800</v>
      </c>
      <c r="L8" s="395">
        <v>1000</v>
      </c>
      <c r="M8" s="395">
        <v>1200</v>
      </c>
      <c r="N8" s="395">
        <v>1600</v>
      </c>
      <c r="O8" s="395">
        <v>1500</v>
      </c>
    </row>
    <row r="9" spans="1:15" ht="24.95" customHeight="1" x14ac:dyDescent="0.3">
      <c r="A9" s="42" t="s">
        <v>375</v>
      </c>
      <c r="B9" s="44">
        <v>140</v>
      </c>
      <c r="C9" s="44">
        <v>500</v>
      </c>
      <c r="D9" s="44">
        <v>500</v>
      </c>
      <c r="E9" s="44">
        <v>400</v>
      </c>
      <c r="F9" s="395">
        <v>400</v>
      </c>
      <c r="G9" s="395">
        <v>400</v>
      </c>
      <c r="H9" s="395">
        <v>500</v>
      </c>
      <c r="I9" s="395">
        <v>600</v>
      </c>
      <c r="J9" s="395">
        <v>600</v>
      </c>
      <c r="K9" s="395">
        <v>600</v>
      </c>
      <c r="L9" s="395">
        <v>600</v>
      </c>
      <c r="M9" s="395">
        <v>600</v>
      </c>
      <c r="N9" s="395">
        <v>1000</v>
      </c>
      <c r="O9" s="395">
        <v>1000</v>
      </c>
    </row>
    <row r="10" spans="1:15" ht="24.95" customHeight="1" x14ac:dyDescent="0.3">
      <c r="A10" s="47" t="s">
        <v>263</v>
      </c>
      <c r="B10" s="44">
        <v>450</v>
      </c>
      <c r="C10" s="44">
        <v>500</v>
      </c>
      <c r="D10" s="44">
        <v>600</v>
      </c>
      <c r="E10" s="44">
        <v>600</v>
      </c>
      <c r="F10" s="395">
        <v>600</v>
      </c>
      <c r="G10" s="395">
        <v>600</v>
      </c>
      <c r="H10" s="395">
        <v>600</v>
      </c>
      <c r="I10" s="395">
        <v>750</v>
      </c>
      <c r="J10" s="395">
        <v>750</v>
      </c>
      <c r="K10" s="395">
        <v>750</v>
      </c>
      <c r="L10" s="395">
        <v>750</v>
      </c>
      <c r="M10" s="395">
        <v>800</v>
      </c>
      <c r="N10" s="395">
        <v>1500</v>
      </c>
      <c r="O10" s="395">
        <v>1500</v>
      </c>
    </row>
    <row r="11" spans="1:15" ht="24.95" customHeight="1" x14ac:dyDescent="0.3">
      <c r="A11" s="47" t="s">
        <v>286</v>
      </c>
      <c r="B11" s="44">
        <v>200</v>
      </c>
      <c r="C11" s="44">
        <v>300</v>
      </c>
      <c r="D11" s="44">
        <v>350</v>
      </c>
      <c r="E11" s="44">
        <v>350</v>
      </c>
      <c r="F11" s="395">
        <v>350</v>
      </c>
      <c r="G11" s="395">
        <v>350</v>
      </c>
      <c r="H11" s="395">
        <v>400</v>
      </c>
      <c r="I11" s="395">
        <v>500</v>
      </c>
      <c r="J11" s="395">
        <v>500</v>
      </c>
      <c r="K11" s="395">
        <v>500</v>
      </c>
      <c r="L11" s="395">
        <v>500</v>
      </c>
      <c r="M11" s="395">
        <v>500</v>
      </c>
      <c r="N11" s="395">
        <v>600</v>
      </c>
      <c r="O11" s="395">
        <v>600</v>
      </c>
    </row>
    <row r="12" spans="1:15" ht="24.95" customHeight="1" x14ac:dyDescent="0.3">
      <c r="A12" s="47" t="s">
        <v>632</v>
      </c>
      <c r="B12" s="44"/>
      <c r="C12" s="44"/>
      <c r="D12" s="44"/>
      <c r="E12" s="44">
        <v>2000</v>
      </c>
      <c r="F12" s="395">
        <v>2250</v>
      </c>
      <c r="G12" s="395">
        <v>2250</v>
      </c>
      <c r="H12" s="395">
        <v>2400</v>
      </c>
      <c r="I12" s="395">
        <v>2500</v>
      </c>
      <c r="J12" s="395">
        <v>2500</v>
      </c>
      <c r="K12" s="395">
        <v>2500</v>
      </c>
      <c r="L12" s="395">
        <v>2000</v>
      </c>
      <c r="M12" s="395">
        <v>2000</v>
      </c>
      <c r="N12" s="395">
        <v>2200</v>
      </c>
      <c r="O12" s="395">
        <v>2200</v>
      </c>
    </row>
    <row r="13" spans="1:15" ht="24.95" hidden="1" customHeight="1" x14ac:dyDescent="0.3">
      <c r="A13" s="47" t="s">
        <v>633</v>
      </c>
      <c r="B13" s="44"/>
      <c r="C13" s="44"/>
      <c r="D13" s="44"/>
      <c r="E13" s="44"/>
      <c r="F13" s="395"/>
      <c r="G13" s="395"/>
      <c r="H13" s="395"/>
      <c r="I13" s="395">
        <v>0</v>
      </c>
      <c r="J13" s="395">
        <v>0</v>
      </c>
      <c r="K13" s="395">
        <f>(8*350)+(14*350)</f>
        <v>7700</v>
      </c>
      <c r="L13" s="395">
        <v>0</v>
      </c>
      <c r="M13" s="395">
        <v>0</v>
      </c>
      <c r="N13" s="395">
        <v>0</v>
      </c>
      <c r="O13" s="395">
        <v>0</v>
      </c>
    </row>
    <row r="14" spans="1:15" ht="24.95" hidden="1" customHeight="1" x14ac:dyDescent="0.3">
      <c r="A14" s="47" t="s">
        <v>655</v>
      </c>
      <c r="B14" s="44"/>
      <c r="C14" s="44"/>
      <c r="D14" s="44"/>
      <c r="E14" s="44"/>
      <c r="F14" s="395"/>
      <c r="G14" s="395"/>
      <c r="H14" s="395"/>
      <c r="I14" s="395"/>
      <c r="J14" s="395"/>
      <c r="K14" s="395"/>
      <c r="L14" s="395">
        <f>3000*2</f>
        <v>6000</v>
      </c>
      <c r="M14" s="395">
        <v>0</v>
      </c>
      <c r="N14" s="395">
        <v>0</v>
      </c>
      <c r="O14" s="395">
        <v>0</v>
      </c>
    </row>
    <row r="15" spans="1:15" ht="24.95" customHeight="1" x14ac:dyDescent="0.3">
      <c r="A15" s="315" t="s">
        <v>656</v>
      </c>
      <c r="B15" s="209"/>
      <c r="C15" s="209"/>
      <c r="D15" s="209"/>
      <c r="E15" s="209"/>
      <c r="F15" s="464"/>
      <c r="G15" s="464"/>
      <c r="H15" s="464"/>
      <c r="I15" s="464"/>
      <c r="J15" s="464"/>
      <c r="K15" s="464"/>
      <c r="L15" s="464">
        <f>(22*500)+(35*300)</f>
        <v>21500</v>
      </c>
      <c r="M15" s="464">
        <f>(22*500)+(35*300)</f>
        <v>21500</v>
      </c>
      <c r="N15" s="464">
        <v>0</v>
      </c>
      <c r="O15" s="464">
        <v>0</v>
      </c>
    </row>
    <row r="16" spans="1:15" ht="24.95" customHeight="1" x14ac:dyDescent="0.3">
      <c r="A16" s="315" t="s">
        <v>769</v>
      </c>
      <c r="B16" s="209"/>
      <c r="C16" s="209"/>
      <c r="D16" s="209"/>
      <c r="E16" s="209"/>
      <c r="F16" s="464"/>
      <c r="G16" s="464"/>
      <c r="H16" s="464"/>
      <c r="I16" s="464"/>
      <c r="J16" s="464"/>
      <c r="K16" s="464"/>
      <c r="L16" s="464"/>
      <c r="M16" s="464"/>
      <c r="N16" s="464"/>
      <c r="O16" s="464">
        <f>9*1500</f>
        <v>13500</v>
      </c>
    </row>
    <row r="17" spans="1:15" ht="24.95" customHeight="1" x14ac:dyDescent="0.3">
      <c r="A17" s="315" t="s">
        <v>774</v>
      </c>
      <c r="B17" s="209"/>
      <c r="C17" s="209"/>
      <c r="D17" s="209"/>
      <c r="E17" s="209"/>
      <c r="F17" s="464"/>
      <c r="G17" s="464"/>
      <c r="H17" s="464"/>
      <c r="I17" s="464"/>
      <c r="J17" s="464"/>
      <c r="K17" s="464"/>
      <c r="L17" s="464"/>
      <c r="M17" s="464"/>
      <c r="N17" s="464"/>
      <c r="O17" s="464">
        <f>6*1000</f>
        <v>6000</v>
      </c>
    </row>
    <row r="18" spans="1:15" ht="24.95" customHeight="1" thickBot="1" x14ac:dyDescent="0.35">
      <c r="A18" s="315"/>
      <c r="B18" s="209">
        <v>-2000</v>
      </c>
      <c r="C18" s="209"/>
      <c r="D18" s="209"/>
      <c r="E18" s="209"/>
      <c r="F18" s="464"/>
      <c r="G18" s="464"/>
      <c r="H18" s="464"/>
      <c r="I18" s="464"/>
      <c r="J18" s="464"/>
      <c r="K18" s="464"/>
      <c r="L18" s="464"/>
      <c r="M18" s="464"/>
      <c r="N18" s="464"/>
      <c r="O18" s="464"/>
    </row>
    <row r="19" spans="1:15" s="36" customFormat="1" ht="24.95" customHeight="1" thickTop="1" x14ac:dyDescent="0.3">
      <c r="A19" s="73" t="s">
        <v>95</v>
      </c>
      <c r="B19" s="153">
        <f t="shared" ref="B19:H19" si="0">SUM(B4:B18)</f>
        <v>7590</v>
      </c>
      <c r="C19" s="153">
        <f t="shared" si="0"/>
        <v>10000</v>
      </c>
      <c r="D19" s="153">
        <f t="shared" si="0"/>
        <v>10550</v>
      </c>
      <c r="E19" s="153">
        <f t="shared" si="0"/>
        <v>10350</v>
      </c>
      <c r="F19" s="403">
        <f t="shared" si="0"/>
        <v>10900</v>
      </c>
      <c r="G19" s="403">
        <f>SUM(G4:G18)</f>
        <v>10900</v>
      </c>
      <c r="H19" s="403">
        <f t="shared" si="0"/>
        <v>11400</v>
      </c>
      <c r="I19" s="403">
        <f t="shared" ref="I19:N19" si="1">SUM(I4:I18)</f>
        <v>12650</v>
      </c>
      <c r="J19" s="403">
        <f t="shared" si="1"/>
        <v>12950</v>
      </c>
      <c r="K19" s="403">
        <f t="shared" si="1"/>
        <v>20650</v>
      </c>
      <c r="L19" s="403">
        <f t="shared" si="1"/>
        <v>38150</v>
      </c>
      <c r="M19" s="403">
        <f t="shared" si="1"/>
        <v>32400</v>
      </c>
      <c r="N19" s="403">
        <f t="shared" si="1"/>
        <v>12900</v>
      </c>
      <c r="O19" s="403">
        <f t="shared" ref="O19" si="2">SUM(O4:O18)</f>
        <v>33500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18"/>
  <sheetViews>
    <sheetView workbookViewId="0"/>
  </sheetViews>
  <sheetFormatPr defaultColWidth="9.140625" defaultRowHeight="18.75" customHeight="1" x14ac:dyDescent="0.3"/>
  <cols>
    <col min="1" max="1" width="36.85546875" style="67" bestFit="1" customWidth="1"/>
    <col min="2" max="2" width="10.7109375" style="35" hidden="1" customWidth="1"/>
    <col min="3" max="8" width="10.710937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417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71"/>
      <c r="B4" s="171"/>
      <c r="C4" s="171"/>
      <c r="D4" s="171"/>
      <c r="E4" s="171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s="36" customFormat="1" ht="18.75" customHeight="1" x14ac:dyDescent="0.3">
      <c r="A5" s="47"/>
      <c r="B5" s="26"/>
      <c r="C5" s="26"/>
      <c r="D5" s="26"/>
      <c r="E5" s="26"/>
      <c r="F5" s="451"/>
      <c r="G5" s="451"/>
      <c r="H5" s="451"/>
      <c r="I5" s="451"/>
      <c r="J5" s="451"/>
      <c r="K5" s="451"/>
      <c r="L5" s="451"/>
      <c r="M5" s="451"/>
      <c r="N5" s="451"/>
      <c r="O5" s="451"/>
    </row>
    <row r="6" spans="1:15" s="36" customFormat="1" ht="18.75" customHeight="1" x14ac:dyDescent="0.3">
      <c r="A6" s="47" t="s">
        <v>539</v>
      </c>
      <c r="B6" s="26">
        <v>210</v>
      </c>
      <c r="C6" s="26">
        <v>320</v>
      </c>
      <c r="D6" s="355">
        <v>320</v>
      </c>
      <c r="E6" s="355">
        <v>300</v>
      </c>
      <c r="F6" s="485">
        <v>300</v>
      </c>
      <c r="G6" s="485">
        <v>300</v>
      </c>
      <c r="H6" s="485">
        <v>300</v>
      </c>
      <c r="I6" s="485">
        <v>350</v>
      </c>
      <c r="J6" s="485">
        <v>800</v>
      </c>
      <c r="K6" s="485">
        <v>800</v>
      </c>
      <c r="L6" s="485">
        <v>800</v>
      </c>
      <c r="M6" s="485">
        <v>800</v>
      </c>
      <c r="N6" s="485">
        <v>1000</v>
      </c>
      <c r="O6" s="485">
        <v>1000</v>
      </c>
    </row>
    <row r="7" spans="1:15" s="36" customFormat="1" ht="18.75" customHeight="1" x14ac:dyDescent="0.3">
      <c r="A7" s="47" t="s">
        <v>512</v>
      </c>
      <c r="B7" s="26">
        <v>70</v>
      </c>
      <c r="C7" s="26">
        <v>45</v>
      </c>
      <c r="D7" s="355">
        <v>45</v>
      </c>
      <c r="E7" s="355">
        <v>45</v>
      </c>
      <c r="F7" s="485">
        <v>45</v>
      </c>
      <c r="G7" s="485">
        <v>45</v>
      </c>
      <c r="H7" s="485">
        <v>45</v>
      </c>
      <c r="I7" s="485">
        <v>50</v>
      </c>
      <c r="J7" s="485">
        <v>50</v>
      </c>
      <c r="K7" s="485">
        <v>50</v>
      </c>
      <c r="L7" s="485">
        <v>50</v>
      </c>
      <c r="M7" s="485">
        <v>50</v>
      </c>
      <c r="N7" s="485">
        <v>75</v>
      </c>
      <c r="O7" s="485">
        <v>75</v>
      </c>
    </row>
    <row r="8" spans="1:15" s="36" customFormat="1" ht="18.75" customHeight="1" x14ac:dyDescent="0.3">
      <c r="A8" s="47" t="s">
        <v>487</v>
      </c>
      <c r="B8" s="26">
        <v>1000</v>
      </c>
      <c r="C8" s="26">
        <v>1000</v>
      </c>
      <c r="D8" s="355">
        <v>1500</v>
      </c>
      <c r="E8" s="355">
        <f>500+750+1500</f>
        <v>2750</v>
      </c>
      <c r="F8" s="485">
        <v>3100</v>
      </c>
      <c r="G8" s="485">
        <v>750</v>
      </c>
      <c r="H8" s="485">
        <v>800</v>
      </c>
      <c r="I8" s="485">
        <v>850</v>
      </c>
      <c r="J8" s="485">
        <v>1800</v>
      </c>
      <c r="K8" s="485">
        <v>1800</v>
      </c>
      <c r="L8" s="485">
        <v>1800</v>
      </c>
      <c r="M8" s="485">
        <v>1800</v>
      </c>
      <c r="N8" s="485">
        <v>2000</v>
      </c>
      <c r="O8" s="485">
        <v>2000</v>
      </c>
    </row>
    <row r="9" spans="1:15" s="36" customFormat="1" ht="18.75" customHeight="1" x14ac:dyDescent="0.3">
      <c r="A9" s="42" t="s">
        <v>768</v>
      </c>
      <c r="B9" s="26"/>
      <c r="C9" s="26"/>
      <c r="D9" s="26"/>
      <c r="E9" s="26"/>
      <c r="F9" s="451"/>
      <c r="G9" s="451"/>
      <c r="H9" s="451"/>
      <c r="I9" s="451"/>
      <c r="J9" s="451"/>
      <c r="K9" s="451"/>
      <c r="L9" s="451"/>
      <c r="M9" s="451"/>
      <c r="N9" s="451"/>
      <c r="O9" s="451">
        <f>150*12</f>
        <v>1800</v>
      </c>
    </row>
    <row r="10" spans="1:15" ht="18.75" customHeight="1" x14ac:dyDescent="0.3">
      <c r="A10" s="90"/>
      <c r="B10" s="26"/>
      <c r="C10" s="26"/>
      <c r="D10" s="26"/>
      <c r="E10" s="26"/>
      <c r="F10" s="451"/>
      <c r="G10" s="451"/>
      <c r="H10" s="451"/>
      <c r="I10" s="451"/>
      <c r="J10" s="451"/>
      <c r="K10" s="451"/>
      <c r="L10" s="451"/>
      <c r="M10" s="451"/>
      <c r="N10" s="451"/>
      <c r="O10" s="451"/>
    </row>
    <row r="11" spans="1:15" ht="18.75" customHeight="1" x14ac:dyDescent="0.3">
      <c r="A11" s="68"/>
      <c r="B11" s="26"/>
      <c r="C11" s="26"/>
      <c r="D11" s="26"/>
      <c r="E11" s="26"/>
      <c r="F11" s="451"/>
      <c r="G11" s="451"/>
      <c r="H11" s="451"/>
      <c r="I11" s="451"/>
      <c r="J11" s="451"/>
      <c r="K11" s="451"/>
      <c r="L11" s="451"/>
      <c r="M11" s="451"/>
      <c r="N11" s="451"/>
      <c r="O11" s="451"/>
    </row>
    <row r="12" spans="1:15" ht="18.75" customHeight="1" thickBot="1" x14ac:dyDescent="0.35">
      <c r="A12" s="43"/>
      <c r="B12" s="40">
        <v>-75</v>
      </c>
      <c r="C12" s="40"/>
      <c r="D12" s="40"/>
      <c r="E12" s="40"/>
      <c r="F12" s="441"/>
      <c r="G12" s="441"/>
      <c r="H12" s="441"/>
      <c r="I12" s="441"/>
      <c r="J12" s="441"/>
      <c r="K12" s="441"/>
      <c r="L12" s="441"/>
      <c r="M12" s="441"/>
      <c r="N12" s="441"/>
      <c r="O12" s="441"/>
    </row>
    <row r="13" spans="1:15" s="36" customFormat="1" ht="18.75" customHeight="1" thickTop="1" x14ac:dyDescent="0.3">
      <c r="A13" s="73" t="s">
        <v>95</v>
      </c>
      <c r="B13" s="189">
        <f t="shared" ref="B13:H13" si="0">SUM(B4:B12)</f>
        <v>1205</v>
      </c>
      <c r="C13" s="189">
        <f t="shared" si="0"/>
        <v>1365</v>
      </c>
      <c r="D13" s="189">
        <f t="shared" si="0"/>
        <v>1865</v>
      </c>
      <c r="E13" s="189">
        <f t="shared" si="0"/>
        <v>3095</v>
      </c>
      <c r="F13" s="478">
        <f t="shared" si="0"/>
        <v>3445</v>
      </c>
      <c r="G13" s="478">
        <f>SUM(G4:G12)</f>
        <v>1095</v>
      </c>
      <c r="H13" s="478">
        <f t="shared" si="0"/>
        <v>1145</v>
      </c>
      <c r="I13" s="478">
        <f t="shared" ref="I13:N13" si="1">SUM(I4:I12)</f>
        <v>1250</v>
      </c>
      <c r="J13" s="478">
        <f t="shared" si="1"/>
        <v>2650</v>
      </c>
      <c r="K13" s="478">
        <f t="shared" si="1"/>
        <v>2650</v>
      </c>
      <c r="L13" s="478">
        <f t="shared" si="1"/>
        <v>2650</v>
      </c>
      <c r="M13" s="478">
        <f t="shared" si="1"/>
        <v>2650</v>
      </c>
      <c r="N13" s="478">
        <f t="shared" si="1"/>
        <v>3075</v>
      </c>
      <c r="O13" s="478">
        <f t="shared" ref="O13" si="2">SUM(O4:O12)</f>
        <v>4875</v>
      </c>
    </row>
    <row r="15" spans="1:15" ht="18.75" customHeight="1" x14ac:dyDescent="0.3">
      <c r="A15" s="11"/>
      <c r="B15" s="100"/>
    </row>
    <row r="16" spans="1:15" ht="18.75" customHeight="1" x14ac:dyDescent="0.3">
      <c r="A16" s="11"/>
      <c r="B16" s="100"/>
    </row>
    <row r="17" spans="1:1" ht="18.75" customHeight="1" x14ac:dyDescent="0.3">
      <c r="A17" s="11"/>
    </row>
    <row r="18" spans="1:1" ht="18.75" customHeight="1" x14ac:dyDescent="0.3">
      <c r="A18" s="1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27"/>
  <sheetViews>
    <sheetView workbookViewId="0"/>
  </sheetViews>
  <sheetFormatPr defaultColWidth="9.140625" defaultRowHeight="18.75" customHeight="1" x14ac:dyDescent="0.3"/>
  <cols>
    <col min="1" max="1" width="45.5703125" style="67" customWidth="1"/>
    <col min="2" max="2" width="10.42578125" style="35" hidden="1" customWidth="1"/>
    <col min="3" max="8" width="10.42578125" style="18" hidden="1" customWidth="1"/>
    <col min="9" max="10" width="0" style="18" hidden="1" customWidth="1"/>
    <col min="11" max="11" width="0" hidden="1" customWidth="1"/>
    <col min="12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418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74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6.5" x14ac:dyDescent="0.3">
      <c r="A4" s="42"/>
      <c r="B4" s="85"/>
      <c r="C4" s="85"/>
      <c r="D4" s="85"/>
      <c r="E4" s="85"/>
      <c r="F4" s="469"/>
      <c r="G4" s="469"/>
      <c r="H4" s="469"/>
      <c r="I4" s="469"/>
      <c r="J4" s="469"/>
      <c r="K4" s="469"/>
      <c r="L4" s="469"/>
      <c r="M4" s="469"/>
      <c r="N4" s="469"/>
      <c r="O4" s="469"/>
    </row>
    <row r="5" spans="1:15" s="36" customFormat="1" ht="18" customHeight="1" x14ac:dyDescent="0.3">
      <c r="A5" s="42" t="s">
        <v>715</v>
      </c>
      <c r="B5" s="38">
        <v>75</v>
      </c>
      <c r="C5" s="38">
        <v>200</v>
      </c>
      <c r="D5" s="38">
        <v>200</v>
      </c>
      <c r="E5" s="38">
        <v>200</v>
      </c>
      <c r="F5" s="447">
        <v>300</v>
      </c>
      <c r="G5" s="447">
        <f>200*3</f>
        <v>600</v>
      </c>
      <c r="H5" s="447">
        <f>200*4</f>
        <v>800</v>
      </c>
      <c r="I5" s="447">
        <f>200*4</f>
        <v>800</v>
      </c>
      <c r="J5" s="447">
        <f>150*4</f>
        <v>600</v>
      </c>
      <c r="K5" s="447">
        <f>150*4</f>
        <v>600</v>
      </c>
      <c r="L5" s="447">
        <f>150*4</f>
        <v>600</v>
      </c>
      <c r="M5" s="447">
        <f>150*4</f>
        <v>600</v>
      </c>
      <c r="N5" s="447">
        <f>200*4</f>
        <v>800</v>
      </c>
      <c r="O5" s="447">
        <f>150*3</f>
        <v>450</v>
      </c>
    </row>
    <row r="6" spans="1:15" ht="18" customHeight="1" x14ac:dyDescent="0.3">
      <c r="A6" s="488" t="s">
        <v>359</v>
      </c>
      <c r="B6" s="489">
        <v>200</v>
      </c>
      <c r="C6" s="489">
        <v>200</v>
      </c>
      <c r="D6" s="489">
        <v>200</v>
      </c>
      <c r="E6" s="489">
        <v>200</v>
      </c>
      <c r="F6" s="490">
        <v>200</v>
      </c>
      <c r="G6" s="490">
        <v>200</v>
      </c>
      <c r="H6" s="490">
        <v>200</v>
      </c>
      <c r="I6" s="490">
        <v>250</v>
      </c>
      <c r="J6" s="490">
        <v>300</v>
      </c>
      <c r="K6" s="490">
        <v>300</v>
      </c>
      <c r="L6" s="490">
        <v>300</v>
      </c>
      <c r="M6" s="490">
        <v>300</v>
      </c>
      <c r="N6" s="490">
        <v>400</v>
      </c>
      <c r="O6" s="490">
        <v>400</v>
      </c>
    </row>
    <row r="7" spans="1:15" ht="18" hidden="1" customHeight="1" x14ac:dyDescent="0.3">
      <c r="A7" s="42" t="s">
        <v>304</v>
      </c>
      <c r="B7" s="38"/>
      <c r="C7" s="38">
        <v>30</v>
      </c>
      <c r="D7" s="38">
        <v>30</v>
      </c>
      <c r="E7" s="378"/>
      <c r="F7" s="450"/>
      <c r="G7" s="450"/>
      <c r="H7" s="450"/>
      <c r="I7" s="450"/>
      <c r="J7" s="450"/>
      <c r="K7" s="450"/>
      <c r="L7" s="450"/>
      <c r="M7" s="450"/>
      <c r="N7" s="450"/>
      <c r="O7" s="450"/>
    </row>
    <row r="8" spans="1:15" ht="18" hidden="1" customHeight="1" x14ac:dyDescent="0.3">
      <c r="A8" s="47" t="s">
        <v>52</v>
      </c>
      <c r="B8" s="38">
        <v>100</v>
      </c>
      <c r="C8" s="38">
        <v>125</v>
      </c>
      <c r="D8" s="38">
        <v>125</v>
      </c>
      <c r="E8" s="378"/>
      <c r="F8" s="450"/>
      <c r="G8" s="450"/>
      <c r="H8" s="450"/>
      <c r="I8" s="450"/>
      <c r="J8" s="450"/>
      <c r="K8" s="450"/>
      <c r="L8" s="450"/>
      <c r="M8" s="450"/>
      <c r="N8" s="450"/>
      <c r="O8" s="450"/>
    </row>
    <row r="9" spans="1:15" ht="18" hidden="1" customHeight="1" x14ac:dyDescent="0.3">
      <c r="A9" s="42" t="s">
        <v>21</v>
      </c>
      <c r="B9" s="38">
        <v>75</v>
      </c>
      <c r="C9" s="38">
        <v>75</v>
      </c>
      <c r="D9" s="38">
        <v>75</v>
      </c>
      <c r="E9" s="378"/>
      <c r="F9" s="450"/>
      <c r="G9" s="450"/>
      <c r="H9" s="450"/>
      <c r="I9" s="450"/>
      <c r="J9" s="450"/>
      <c r="K9" s="450"/>
      <c r="L9" s="450"/>
      <c r="M9" s="450"/>
      <c r="N9" s="450"/>
      <c r="O9" s="450"/>
    </row>
    <row r="10" spans="1:15" ht="18" customHeight="1" x14ac:dyDescent="0.3">
      <c r="A10" s="47" t="s">
        <v>716</v>
      </c>
      <c r="B10" s="39">
        <v>440</v>
      </c>
      <c r="C10" s="39">
        <v>234</v>
      </c>
      <c r="D10" s="39">
        <v>234</v>
      </c>
      <c r="E10" s="75">
        <v>234</v>
      </c>
      <c r="F10" s="439">
        <v>275</v>
      </c>
      <c r="G10" s="439">
        <v>289</v>
      </c>
      <c r="H10" s="439">
        <v>264</v>
      </c>
      <c r="I10" s="439">
        <v>264</v>
      </c>
      <c r="J10" s="439">
        <v>300</v>
      </c>
      <c r="K10" s="439">
        <v>300</v>
      </c>
      <c r="L10" s="439">
        <v>300</v>
      </c>
      <c r="M10" s="439">
        <v>300</v>
      </c>
      <c r="N10" s="439">
        <v>400</v>
      </c>
      <c r="O10" s="439">
        <v>350</v>
      </c>
    </row>
    <row r="11" spans="1:15" ht="18" customHeight="1" x14ac:dyDescent="0.3">
      <c r="A11" s="42" t="s">
        <v>595</v>
      </c>
      <c r="B11" s="38">
        <v>200</v>
      </c>
      <c r="C11" s="38">
        <v>200</v>
      </c>
      <c r="D11" s="38">
        <v>200</v>
      </c>
      <c r="E11" s="378">
        <v>200</v>
      </c>
      <c r="F11" s="450">
        <v>200</v>
      </c>
      <c r="G11" s="450">
        <v>200</v>
      </c>
      <c r="H11" s="450">
        <v>200</v>
      </c>
      <c r="I11" s="450">
        <v>250</v>
      </c>
      <c r="J11" s="450">
        <v>250</v>
      </c>
      <c r="K11" s="450">
        <v>250</v>
      </c>
      <c r="L11" s="450">
        <v>250</v>
      </c>
      <c r="M11" s="450">
        <v>250</v>
      </c>
      <c r="N11" s="450">
        <v>600</v>
      </c>
      <c r="O11" s="450">
        <v>600</v>
      </c>
    </row>
    <row r="12" spans="1:15" ht="18" customHeight="1" x14ac:dyDescent="0.3">
      <c r="A12" s="42" t="s">
        <v>717</v>
      </c>
      <c r="B12" s="38"/>
      <c r="C12" s="38">
        <v>85</v>
      </c>
      <c r="D12" s="38">
        <v>85</v>
      </c>
      <c r="E12" s="378">
        <v>90</v>
      </c>
      <c r="F12" s="450">
        <v>90</v>
      </c>
      <c r="G12" s="450">
        <v>90</v>
      </c>
      <c r="H12" s="450">
        <v>90</v>
      </c>
      <c r="I12" s="450">
        <v>180</v>
      </c>
      <c r="J12" s="450">
        <v>180</v>
      </c>
      <c r="K12" s="450">
        <v>180</v>
      </c>
      <c r="L12" s="450">
        <v>180</v>
      </c>
      <c r="M12" s="450">
        <v>200</v>
      </c>
      <c r="N12" s="450">
        <v>250</v>
      </c>
      <c r="O12" s="450">
        <v>300</v>
      </c>
    </row>
    <row r="13" spans="1:15" ht="18" customHeight="1" x14ac:dyDescent="0.3">
      <c r="A13" s="42" t="s">
        <v>554</v>
      </c>
      <c r="B13" s="38">
        <v>150</v>
      </c>
      <c r="C13" s="38">
        <v>165</v>
      </c>
      <c r="D13" s="38">
        <v>1165</v>
      </c>
      <c r="E13" s="378">
        <v>1165</v>
      </c>
      <c r="F13" s="450">
        <v>165</v>
      </c>
      <c r="G13" s="450">
        <v>165</v>
      </c>
      <c r="H13" s="450">
        <v>195</v>
      </c>
      <c r="I13" s="450">
        <v>195</v>
      </c>
      <c r="J13" s="450">
        <v>195</v>
      </c>
      <c r="K13" s="450">
        <v>0</v>
      </c>
      <c r="L13" s="450">
        <v>0</v>
      </c>
      <c r="M13" s="450">
        <v>600</v>
      </c>
      <c r="N13" s="450">
        <v>700</v>
      </c>
      <c r="O13" s="450">
        <v>700</v>
      </c>
    </row>
    <row r="14" spans="1:15" ht="18" customHeight="1" x14ac:dyDescent="0.3">
      <c r="A14" s="42" t="s">
        <v>718</v>
      </c>
      <c r="B14" s="38"/>
      <c r="C14" s="38">
        <v>350</v>
      </c>
      <c r="D14" s="38">
        <v>350</v>
      </c>
      <c r="E14" s="378">
        <v>350</v>
      </c>
      <c r="F14" s="450">
        <v>500</v>
      </c>
      <c r="G14" s="450">
        <v>500</v>
      </c>
      <c r="H14" s="450">
        <v>400</v>
      </c>
      <c r="I14" s="450">
        <v>375</v>
      </c>
      <c r="J14" s="450">
        <v>375</v>
      </c>
      <c r="K14" s="450">
        <v>375</v>
      </c>
      <c r="L14" s="450">
        <v>350</v>
      </c>
      <c r="M14" s="450">
        <v>350</v>
      </c>
      <c r="N14" s="450">
        <v>500</v>
      </c>
      <c r="O14" s="450">
        <v>600</v>
      </c>
    </row>
    <row r="15" spans="1:15" ht="18" customHeight="1" x14ac:dyDescent="0.3">
      <c r="A15" s="42" t="s">
        <v>264</v>
      </c>
      <c r="B15" s="38">
        <v>1000</v>
      </c>
      <c r="C15" s="38">
        <v>1000</v>
      </c>
      <c r="D15" s="38">
        <v>1000</v>
      </c>
      <c r="E15" s="378">
        <v>1100</v>
      </c>
      <c r="F15" s="450">
        <v>1250</v>
      </c>
      <c r="G15" s="450">
        <v>1250</v>
      </c>
      <c r="H15" s="450">
        <v>1400</v>
      </c>
      <c r="I15" s="450">
        <v>1400</v>
      </c>
      <c r="J15" s="450">
        <v>1400</v>
      </c>
      <c r="K15" s="450">
        <v>1400</v>
      </c>
      <c r="L15" s="450">
        <v>1400</v>
      </c>
      <c r="M15" s="450">
        <v>1500</v>
      </c>
      <c r="N15" s="450">
        <v>2000</v>
      </c>
      <c r="O15" s="450">
        <v>2000</v>
      </c>
    </row>
    <row r="16" spans="1:15" ht="18" customHeight="1" x14ac:dyDescent="0.3">
      <c r="A16" s="42" t="s">
        <v>719</v>
      </c>
      <c r="B16" s="38">
        <v>175</v>
      </c>
      <c r="C16" s="38">
        <v>105</v>
      </c>
      <c r="D16" s="38">
        <f>4*35</f>
        <v>140</v>
      </c>
      <c r="E16" s="378">
        <f>4*35</f>
        <v>140</v>
      </c>
      <c r="F16" s="450">
        <f>(5*55)+55</f>
        <v>330</v>
      </c>
      <c r="G16" s="450">
        <f>(5*55)+((4*55)+110)</f>
        <v>605</v>
      </c>
      <c r="H16" s="450">
        <f>(4*55)+((4*60)+120)</f>
        <v>580</v>
      </c>
      <c r="I16" s="450">
        <f>(4*55)+((4*60)+120)</f>
        <v>580</v>
      </c>
      <c r="J16" s="450">
        <f>(4*55)+((4*60)+120)</f>
        <v>580</v>
      </c>
      <c r="K16" s="450">
        <f>(100+(3*40))+(120+(8*60))</f>
        <v>820</v>
      </c>
      <c r="L16" s="450">
        <f>(100+(3*40))+(120+(8*60))</f>
        <v>820</v>
      </c>
      <c r="M16" s="450">
        <f>(100+(3*40))+(120+(8*60))</f>
        <v>820</v>
      </c>
      <c r="N16" s="450">
        <f>(100+(4*40))+(120+(8*60))</f>
        <v>860</v>
      </c>
      <c r="O16" s="450">
        <f>(100+(4*40))+(120+(8*60))</f>
        <v>860</v>
      </c>
    </row>
    <row r="17" spans="1:15" ht="18" customHeight="1" x14ac:dyDescent="0.3">
      <c r="A17" s="28" t="s">
        <v>211</v>
      </c>
      <c r="B17" s="38">
        <v>75</v>
      </c>
      <c r="C17" s="38">
        <v>75</v>
      </c>
      <c r="D17" s="38">
        <v>75</v>
      </c>
      <c r="E17" s="378">
        <v>75</v>
      </c>
      <c r="F17" s="450">
        <v>75</v>
      </c>
      <c r="G17" s="450">
        <v>75</v>
      </c>
      <c r="H17" s="450">
        <v>75</v>
      </c>
      <c r="I17" s="450">
        <v>75</v>
      </c>
      <c r="J17" s="450">
        <v>75</v>
      </c>
      <c r="K17" s="450">
        <v>75</v>
      </c>
      <c r="L17" s="450">
        <v>75</v>
      </c>
      <c r="M17" s="450">
        <v>80</v>
      </c>
      <c r="N17" s="450">
        <v>150</v>
      </c>
      <c r="O17" s="450">
        <v>200</v>
      </c>
    </row>
    <row r="18" spans="1:15" ht="18" customHeight="1" x14ac:dyDescent="0.3">
      <c r="A18" s="28" t="s">
        <v>753</v>
      </c>
      <c r="B18" s="38">
        <v>100</v>
      </c>
      <c r="C18" s="38">
        <v>200</v>
      </c>
      <c r="D18" s="38">
        <v>200</v>
      </c>
      <c r="E18" s="378">
        <v>200</v>
      </c>
      <c r="F18" s="450">
        <v>300</v>
      </c>
      <c r="G18" s="450">
        <f>150+(100*2)</f>
        <v>350</v>
      </c>
      <c r="H18" s="450">
        <f>150+(100*3)</f>
        <v>450</v>
      </c>
      <c r="I18" s="450">
        <f>150+(50*3)</f>
        <v>300</v>
      </c>
      <c r="J18" s="450">
        <v>802</v>
      </c>
      <c r="K18" s="450">
        <v>820</v>
      </c>
      <c r="L18" s="450" t="e">
        <f>((#REF!/1000)*3)+(100*3)</f>
        <v>#REF!</v>
      </c>
      <c r="M18" s="450">
        <f>300+(100*3)</f>
        <v>600</v>
      </c>
      <c r="N18" s="450">
        <f>300+(100*3)</f>
        <v>600</v>
      </c>
      <c r="O18" s="450">
        <v>500</v>
      </c>
    </row>
    <row r="19" spans="1:15" ht="18" hidden="1" customHeight="1" x14ac:dyDescent="0.3">
      <c r="A19" s="28" t="s">
        <v>383</v>
      </c>
      <c r="B19" s="38"/>
      <c r="C19" s="38">
        <v>22</v>
      </c>
      <c r="D19" s="38">
        <v>22</v>
      </c>
      <c r="E19" s="378"/>
      <c r="F19" s="450"/>
      <c r="G19" s="450"/>
      <c r="H19" s="450"/>
      <c r="I19" s="450"/>
      <c r="J19" s="450"/>
      <c r="K19" s="450"/>
      <c r="L19" s="450"/>
      <c r="M19" s="450"/>
      <c r="N19" s="450"/>
      <c r="O19" s="450"/>
    </row>
    <row r="20" spans="1:15" ht="18" hidden="1" customHeight="1" x14ac:dyDescent="0.3">
      <c r="A20" s="28" t="s">
        <v>382</v>
      </c>
      <c r="B20" s="38"/>
      <c r="C20" s="38"/>
      <c r="D20" s="38"/>
      <c r="E20" s="378">
        <v>50</v>
      </c>
      <c r="F20" s="450">
        <v>50</v>
      </c>
      <c r="G20" s="450">
        <v>75</v>
      </c>
      <c r="H20" s="450">
        <v>50</v>
      </c>
      <c r="I20" s="450">
        <v>0</v>
      </c>
      <c r="J20" s="450">
        <v>0</v>
      </c>
      <c r="K20" s="450"/>
      <c r="L20" s="450"/>
      <c r="M20" s="450"/>
      <c r="N20" s="450"/>
      <c r="O20" s="450"/>
    </row>
    <row r="21" spans="1:15" ht="18" customHeight="1" x14ac:dyDescent="0.3">
      <c r="A21" s="28"/>
      <c r="B21" s="38"/>
      <c r="C21" s="38"/>
      <c r="D21" s="38"/>
      <c r="E21" s="378"/>
      <c r="F21" s="450"/>
      <c r="G21" s="450"/>
      <c r="H21" s="450"/>
      <c r="I21" s="450"/>
      <c r="J21" s="450"/>
      <c r="K21" s="450"/>
      <c r="L21" s="450"/>
      <c r="M21" s="450"/>
      <c r="N21" s="450"/>
      <c r="O21" s="450"/>
    </row>
    <row r="22" spans="1:15" ht="18" customHeight="1" x14ac:dyDescent="0.3">
      <c r="A22" s="298"/>
      <c r="B22" s="491">
        <v>-700</v>
      </c>
      <c r="C22" s="491"/>
      <c r="D22" s="491"/>
      <c r="E22" s="492"/>
      <c r="F22" s="493"/>
      <c r="G22" s="493"/>
      <c r="H22" s="493"/>
      <c r="I22" s="493"/>
      <c r="J22" s="493"/>
      <c r="K22" s="493"/>
      <c r="L22" s="493"/>
      <c r="M22" s="493"/>
      <c r="N22" s="493"/>
      <c r="O22" s="493"/>
    </row>
    <row r="23" spans="1:15" ht="18" customHeight="1" x14ac:dyDescent="0.3">
      <c r="A23" s="494" t="s">
        <v>95</v>
      </c>
      <c r="B23" s="295">
        <f>SUM(B4:B22)</f>
        <v>1890</v>
      </c>
      <c r="C23" s="295">
        <f>SUM(C4:C22)</f>
        <v>3066</v>
      </c>
      <c r="D23" s="295">
        <f>SUM(D4:D22)</f>
        <v>4101</v>
      </c>
      <c r="E23" s="295">
        <f t="shared" ref="E23:J23" si="0">SUM(E5:E22)</f>
        <v>4004</v>
      </c>
      <c r="F23" s="495">
        <f t="shared" si="0"/>
        <v>3735</v>
      </c>
      <c r="G23" s="495">
        <f t="shared" si="0"/>
        <v>4399</v>
      </c>
      <c r="H23" s="495">
        <f t="shared" si="0"/>
        <v>4704</v>
      </c>
      <c r="I23" s="495">
        <f t="shared" si="0"/>
        <v>4669</v>
      </c>
      <c r="J23" s="495">
        <f t="shared" si="0"/>
        <v>5057</v>
      </c>
      <c r="K23" s="495">
        <f>SUM(K5:K22)</f>
        <v>5120</v>
      </c>
      <c r="L23" s="495" t="e">
        <f>SUM(L5:L22)</f>
        <v>#REF!</v>
      </c>
      <c r="M23" s="495">
        <f>SUM(M5:M22)</f>
        <v>5600</v>
      </c>
      <c r="N23" s="495">
        <f>SUM(N5:N22)</f>
        <v>7260</v>
      </c>
      <c r="O23" s="495">
        <f>SUM(O5:O22)</f>
        <v>6960</v>
      </c>
    </row>
    <row r="24" spans="1:15" s="36" customFormat="1" ht="22.5" customHeight="1" x14ac:dyDescent="0.3">
      <c r="A24" s="67"/>
      <c r="B24" s="35"/>
      <c r="C24" s="18"/>
      <c r="D24" s="18"/>
      <c r="E24" s="18"/>
      <c r="F24" s="18"/>
      <c r="G24" s="18"/>
      <c r="H24" s="18"/>
      <c r="I24" s="18"/>
    </row>
    <row r="25" spans="1:15" ht="18.75" customHeight="1" x14ac:dyDescent="0.3">
      <c r="A25" s="11"/>
    </row>
    <row r="26" spans="1:15" ht="18.75" customHeight="1" x14ac:dyDescent="0.3">
      <c r="A26" s="181"/>
    </row>
    <row r="27" spans="1:15" ht="18.75" customHeight="1" x14ac:dyDescent="0.3">
      <c r="A27" s="181"/>
    </row>
  </sheetData>
  <sortState xmlns:xlrd2="http://schemas.microsoft.com/office/spreadsheetml/2017/richdata2" ref="A5:F24">
    <sortCondition ref="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114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67" bestFit="1" customWidth="1"/>
    <col min="2" max="2" width="11.7109375" style="35" hidden="1" customWidth="1"/>
    <col min="3" max="4" width="11.7109375" style="18" hidden="1" customWidth="1"/>
    <col min="5" max="8" width="11.4257812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419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71"/>
      <c r="B4" s="96"/>
      <c r="C4" s="96"/>
      <c r="D4" s="96"/>
      <c r="E4" s="96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ht="18" hidden="1" customHeight="1" x14ac:dyDescent="0.3">
      <c r="A5" s="128" t="s">
        <v>0</v>
      </c>
      <c r="B5" s="75">
        <v>300</v>
      </c>
      <c r="C5" s="75">
        <v>500</v>
      </c>
      <c r="D5" s="75">
        <v>500</v>
      </c>
      <c r="E5" s="75">
        <v>500</v>
      </c>
      <c r="F5" s="439">
        <v>500</v>
      </c>
      <c r="G5" s="439">
        <v>0</v>
      </c>
      <c r="H5" s="439">
        <v>0</v>
      </c>
      <c r="I5" s="439"/>
      <c r="J5" s="439"/>
      <c r="K5" s="439"/>
      <c r="L5" s="439"/>
      <c r="M5" s="439"/>
      <c r="N5" s="439"/>
      <c r="O5" s="439"/>
    </row>
    <row r="6" spans="1:15" ht="18" customHeight="1" x14ac:dyDescent="0.3">
      <c r="A6" s="128" t="s">
        <v>653</v>
      </c>
      <c r="B6" s="75">
        <v>300</v>
      </c>
      <c r="C6" s="75">
        <v>250</v>
      </c>
      <c r="D6" s="75">
        <v>0</v>
      </c>
      <c r="E6" s="75">
        <f>50*12</f>
        <v>600</v>
      </c>
      <c r="F6" s="439">
        <f>75*12</f>
        <v>900</v>
      </c>
      <c r="G6" s="439">
        <f>50*12</f>
        <v>600</v>
      </c>
      <c r="H6" s="439">
        <f>30*12</f>
        <v>360</v>
      </c>
      <c r="I6" s="439">
        <f>40*12</f>
        <v>480</v>
      </c>
      <c r="J6" s="439">
        <f>40*12</f>
        <v>480</v>
      </c>
      <c r="K6" s="439">
        <v>800</v>
      </c>
      <c r="L6" s="439">
        <f>99*12</f>
        <v>1188</v>
      </c>
      <c r="M6" s="439">
        <f>110*12</f>
        <v>1320</v>
      </c>
      <c r="N6" s="439">
        <f>125*12</f>
        <v>1500</v>
      </c>
      <c r="O6" s="439">
        <f>125*12</f>
        <v>1500</v>
      </c>
    </row>
    <row r="7" spans="1:15" ht="18" hidden="1" customHeight="1" x14ac:dyDescent="0.3">
      <c r="A7" s="264" t="s">
        <v>429</v>
      </c>
      <c r="B7" s="265">
        <v>15000</v>
      </c>
      <c r="C7" s="265">
        <v>7200</v>
      </c>
      <c r="D7" s="265">
        <v>7500</v>
      </c>
      <c r="E7" s="265">
        <v>7500</v>
      </c>
      <c r="F7" s="470">
        <v>0</v>
      </c>
      <c r="G7" s="470">
        <v>0</v>
      </c>
      <c r="H7" s="470">
        <v>0</v>
      </c>
      <c r="I7" s="470"/>
      <c r="J7" s="470"/>
      <c r="K7" s="470"/>
      <c r="L7" s="470"/>
      <c r="M7" s="470"/>
      <c r="N7" s="470"/>
      <c r="O7" s="470"/>
    </row>
    <row r="8" spans="1:15" ht="18" customHeight="1" x14ac:dyDescent="0.3">
      <c r="A8" s="128" t="s">
        <v>540</v>
      </c>
      <c r="B8" s="75">
        <v>850</v>
      </c>
      <c r="C8" s="75">
        <v>900</v>
      </c>
      <c r="D8" s="75">
        <v>1000</v>
      </c>
      <c r="E8" s="75">
        <v>895</v>
      </c>
      <c r="F8" s="439">
        <v>950</v>
      </c>
      <c r="G8" s="439">
        <v>1000</v>
      </c>
      <c r="H8" s="439">
        <f>1000+500</f>
        <v>1500</v>
      </c>
      <c r="I8" s="439">
        <f>3800</f>
        <v>3800</v>
      </c>
      <c r="J8" s="439">
        <f>3340+995-995+425+60+300</f>
        <v>4125</v>
      </c>
      <c r="K8" s="439">
        <f>3340+995-995+425+60+300</f>
        <v>4125</v>
      </c>
      <c r="L8" s="439">
        <f>3340+995-995+425+60+300</f>
        <v>4125</v>
      </c>
      <c r="M8" s="439">
        <f>3340+995-995+425+60+300+1500</f>
        <v>5625</v>
      </c>
      <c r="N8" s="439">
        <f>(3340+995-995+425+60+300+1500)*1.25</f>
        <v>7031.25</v>
      </c>
      <c r="O8" s="439">
        <f>(3340+995-995+425+60+300+1500)*1.25</f>
        <v>7031.25</v>
      </c>
    </row>
    <row r="9" spans="1:15" ht="18" customHeight="1" x14ac:dyDescent="0.3">
      <c r="A9" s="128" t="s">
        <v>541</v>
      </c>
      <c r="B9" s="75"/>
      <c r="C9" s="75"/>
      <c r="D9" s="75"/>
      <c r="E9" s="75"/>
      <c r="F9" s="439"/>
      <c r="G9" s="439"/>
      <c r="H9" s="439"/>
      <c r="I9" s="439">
        <v>2020</v>
      </c>
      <c r="J9" s="439">
        <v>2200</v>
      </c>
      <c r="K9" s="439">
        <v>2200</v>
      </c>
      <c r="L9" s="439">
        <v>2200</v>
      </c>
      <c r="M9" s="439">
        <f>3500+8000</f>
        <v>11500</v>
      </c>
      <c r="N9" s="439">
        <f>((3500+8000)*1.25)+4000</f>
        <v>18375</v>
      </c>
      <c r="O9" s="439">
        <f>((3500+8000)*1.25)+4000</f>
        <v>18375</v>
      </c>
    </row>
    <row r="10" spans="1:15" ht="18" customHeight="1" x14ac:dyDescent="0.3">
      <c r="A10" s="264" t="s">
        <v>361</v>
      </c>
      <c r="B10" s="265"/>
      <c r="C10" s="265">
        <v>2400</v>
      </c>
      <c r="D10" s="48">
        <f>60*75</f>
        <v>4500</v>
      </c>
      <c r="E10" s="48">
        <f>60*75</f>
        <v>4500</v>
      </c>
      <c r="F10" s="471">
        <f>66*75</f>
        <v>4950</v>
      </c>
      <c r="G10" s="471">
        <f>66*75</f>
        <v>4950</v>
      </c>
      <c r="H10" s="471">
        <f>66*75</f>
        <v>4950</v>
      </c>
      <c r="I10" s="471">
        <f>80*95</f>
        <v>7600</v>
      </c>
      <c r="J10" s="471">
        <f>80*95</f>
        <v>7600</v>
      </c>
      <c r="K10" s="471">
        <f>80*95</f>
        <v>7600</v>
      </c>
      <c r="L10" s="471">
        <f>80*95</f>
        <v>7600</v>
      </c>
      <c r="M10" s="471">
        <v>7500</v>
      </c>
      <c r="N10" s="471">
        <v>8000</v>
      </c>
      <c r="O10" s="471">
        <v>8000</v>
      </c>
    </row>
    <row r="11" spans="1:15" ht="18" customHeight="1" x14ac:dyDescent="0.3">
      <c r="A11" s="49" t="s">
        <v>689</v>
      </c>
      <c r="B11" s="75">
        <v>200</v>
      </c>
      <c r="C11" s="75">
        <v>400</v>
      </c>
      <c r="D11" s="75">
        <v>500</v>
      </c>
      <c r="E11" s="75">
        <v>500</v>
      </c>
      <c r="F11" s="439">
        <v>450</v>
      </c>
      <c r="G11" s="439">
        <v>1000</v>
      </c>
      <c r="H11" s="439">
        <v>1000</v>
      </c>
      <c r="I11" s="439">
        <v>850</v>
      </c>
      <c r="J11" s="439">
        <v>850</v>
      </c>
      <c r="K11" s="439">
        <v>850</v>
      </c>
      <c r="L11" s="439">
        <v>850</v>
      </c>
      <c r="M11" s="439">
        <v>900</v>
      </c>
      <c r="N11" s="439">
        <v>1200</v>
      </c>
      <c r="O11" s="439">
        <v>1200</v>
      </c>
    </row>
    <row r="12" spans="1:15" ht="18" customHeight="1" x14ac:dyDescent="0.3">
      <c r="A12" s="49" t="s">
        <v>376</v>
      </c>
      <c r="B12" s="75">
        <v>1000</v>
      </c>
      <c r="C12" s="75">
        <v>2500</v>
      </c>
      <c r="D12" s="75">
        <v>1500</v>
      </c>
      <c r="E12" s="75">
        <f>650*2</f>
        <v>1300</v>
      </c>
      <c r="F12" s="439">
        <f>650*3</f>
        <v>1950</v>
      </c>
      <c r="G12" s="439">
        <f>675*6</f>
        <v>4050</v>
      </c>
      <c r="H12" s="439">
        <f>775*4</f>
        <v>3100</v>
      </c>
      <c r="I12" s="439">
        <f>775*4</f>
        <v>3100</v>
      </c>
      <c r="J12" s="439">
        <f>775*4</f>
        <v>3100</v>
      </c>
      <c r="K12" s="439">
        <f>900*6</f>
        <v>5400</v>
      </c>
      <c r="L12" s="439">
        <f>1000*10</f>
        <v>10000</v>
      </c>
      <c r="M12" s="439">
        <v>7500</v>
      </c>
      <c r="N12" s="439">
        <v>5000</v>
      </c>
      <c r="O12" s="439">
        <v>5000</v>
      </c>
    </row>
    <row r="13" spans="1:15" ht="18" customHeight="1" x14ac:dyDescent="0.3">
      <c r="A13" s="264" t="s">
        <v>330</v>
      </c>
      <c r="B13" s="265"/>
      <c r="C13" s="265">
        <v>250</v>
      </c>
      <c r="D13" s="265">
        <v>300</v>
      </c>
      <c r="E13" s="265">
        <v>300</v>
      </c>
      <c r="F13" s="470">
        <v>300</v>
      </c>
      <c r="G13" s="470">
        <v>300</v>
      </c>
      <c r="H13" s="470">
        <v>350</v>
      </c>
      <c r="I13" s="470">
        <v>425</v>
      </c>
      <c r="J13" s="470">
        <v>425</v>
      </c>
      <c r="K13" s="470">
        <v>450</v>
      </c>
      <c r="L13" s="470">
        <v>450</v>
      </c>
      <c r="M13" s="470">
        <v>500</v>
      </c>
      <c r="N13" s="470">
        <v>500</v>
      </c>
      <c r="O13" s="470">
        <v>500</v>
      </c>
    </row>
    <row r="14" spans="1:15" ht="18" customHeight="1" x14ac:dyDescent="0.3">
      <c r="A14" s="49" t="s">
        <v>328</v>
      </c>
      <c r="B14" s="75">
        <v>1000</v>
      </c>
      <c r="C14" s="75">
        <v>200</v>
      </c>
      <c r="D14" s="75">
        <v>2500</v>
      </c>
      <c r="E14" s="75">
        <v>2500</v>
      </c>
      <c r="F14" s="439">
        <v>2500</v>
      </c>
      <c r="G14" s="439">
        <v>2500</v>
      </c>
      <c r="H14" s="439">
        <v>2500</v>
      </c>
      <c r="I14" s="439">
        <v>2500</v>
      </c>
      <c r="J14" s="439">
        <v>2500</v>
      </c>
      <c r="K14" s="439">
        <v>2500</v>
      </c>
      <c r="L14" s="439">
        <v>2000</v>
      </c>
      <c r="M14" s="439">
        <v>2000</v>
      </c>
      <c r="N14" s="439">
        <v>2500</v>
      </c>
      <c r="O14" s="439">
        <v>2500</v>
      </c>
    </row>
    <row r="15" spans="1:15" ht="18" customHeight="1" x14ac:dyDescent="0.3">
      <c r="A15" s="49" t="s">
        <v>329</v>
      </c>
      <c r="B15" s="75">
        <v>500</v>
      </c>
      <c r="C15" s="75">
        <v>500</v>
      </c>
      <c r="D15" s="75">
        <v>500</v>
      </c>
      <c r="E15" s="75">
        <v>500</v>
      </c>
      <c r="F15" s="439">
        <v>600</v>
      </c>
      <c r="G15" s="439">
        <v>600</v>
      </c>
      <c r="H15" s="439">
        <v>600</v>
      </c>
      <c r="I15" s="439">
        <v>600</v>
      </c>
      <c r="J15" s="439">
        <v>600</v>
      </c>
      <c r="K15" s="439">
        <v>600</v>
      </c>
      <c r="L15" s="439">
        <v>600</v>
      </c>
      <c r="M15" s="439">
        <v>600</v>
      </c>
      <c r="N15" s="439">
        <v>600</v>
      </c>
      <c r="O15" s="439">
        <v>600</v>
      </c>
    </row>
    <row r="16" spans="1:15" ht="18" customHeight="1" x14ac:dyDescent="0.3">
      <c r="A16" s="307" t="s">
        <v>500</v>
      </c>
      <c r="B16" s="48"/>
      <c r="C16" s="48">
        <v>8000</v>
      </c>
      <c r="D16" s="48">
        <v>1000</v>
      </c>
      <c r="E16" s="48">
        <v>500</v>
      </c>
      <c r="F16" s="471">
        <v>500</v>
      </c>
      <c r="G16" s="471">
        <v>500</v>
      </c>
      <c r="H16" s="471">
        <v>500</v>
      </c>
      <c r="I16" s="471">
        <v>500</v>
      </c>
      <c r="J16" s="471">
        <v>500</v>
      </c>
      <c r="K16" s="471">
        <v>500</v>
      </c>
      <c r="L16" s="471">
        <v>500</v>
      </c>
      <c r="M16" s="471">
        <v>500</v>
      </c>
      <c r="N16" s="471">
        <v>500</v>
      </c>
      <c r="O16" s="471">
        <v>500</v>
      </c>
    </row>
    <row r="17" spans="1:15" ht="18" hidden="1" customHeight="1" x14ac:dyDescent="0.3">
      <c r="A17" s="308" t="s">
        <v>216</v>
      </c>
      <c r="B17" s="75">
        <v>200</v>
      </c>
      <c r="C17" s="75">
        <v>200</v>
      </c>
      <c r="D17" s="75">
        <v>200</v>
      </c>
      <c r="E17" s="75"/>
      <c r="F17" s="439"/>
      <c r="G17" s="439"/>
      <c r="H17" s="439"/>
      <c r="I17" s="439"/>
      <c r="J17" s="439"/>
      <c r="K17" s="439"/>
      <c r="L17" s="439"/>
      <c r="M17" s="439"/>
      <c r="N17" s="439"/>
      <c r="O17" s="439"/>
    </row>
    <row r="18" spans="1:15" ht="18" hidden="1" customHeight="1" x14ac:dyDescent="0.3">
      <c r="A18" s="264" t="s">
        <v>369</v>
      </c>
      <c r="B18" s="265"/>
      <c r="C18" s="265"/>
      <c r="D18" s="265"/>
      <c r="E18" s="265">
        <f>3500</f>
        <v>3500</v>
      </c>
      <c r="F18" s="470"/>
      <c r="G18" s="470"/>
      <c r="H18" s="470"/>
      <c r="I18" s="470"/>
      <c r="J18" s="470"/>
      <c r="K18" s="470"/>
      <c r="L18" s="470"/>
      <c r="M18" s="470"/>
      <c r="N18" s="470"/>
      <c r="O18" s="470"/>
    </row>
    <row r="19" spans="1:15" ht="18" customHeight="1" x14ac:dyDescent="0.3">
      <c r="A19" s="264" t="s">
        <v>542</v>
      </c>
      <c r="B19" s="265"/>
      <c r="C19" s="265"/>
      <c r="D19" s="265"/>
      <c r="E19" s="48">
        <f>1000*2</f>
        <v>2000</v>
      </c>
      <c r="F19" s="471">
        <v>1000</v>
      </c>
      <c r="G19" s="471">
        <v>1000</v>
      </c>
      <c r="H19" s="471">
        <v>600</v>
      </c>
      <c r="I19" s="471">
        <v>1500</v>
      </c>
      <c r="J19" s="471">
        <v>1800</v>
      </c>
      <c r="K19" s="471">
        <v>0</v>
      </c>
      <c r="L19" s="471">
        <v>2000</v>
      </c>
      <c r="M19" s="471">
        <v>4500</v>
      </c>
      <c r="N19" s="471">
        <v>2500</v>
      </c>
      <c r="O19" s="471">
        <v>2500</v>
      </c>
    </row>
    <row r="20" spans="1:15" ht="18" hidden="1" customHeight="1" x14ac:dyDescent="0.3">
      <c r="A20" s="264" t="s">
        <v>652</v>
      </c>
      <c r="B20" s="265"/>
      <c r="C20" s="265"/>
      <c r="D20" s="265"/>
      <c r="E20" s="265"/>
      <c r="F20" s="470">
        <f>(5*300)+(3*150)+(2*149)+(7*99)+9</f>
        <v>2950</v>
      </c>
      <c r="G20" s="470">
        <v>0</v>
      </c>
      <c r="H20" s="470">
        <v>750</v>
      </c>
      <c r="I20" s="470"/>
      <c r="J20" s="470"/>
      <c r="K20" s="470"/>
      <c r="L20" s="470">
        <f>1500*5</f>
        <v>7500</v>
      </c>
      <c r="M20" s="470">
        <v>0</v>
      </c>
      <c r="N20" s="470">
        <v>0</v>
      </c>
      <c r="O20" s="470">
        <v>0</v>
      </c>
    </row>
    <row r="21" spans="1:15" ht="18" hidden="1" customHeight="1" x14ac:dyDescent="0.3">
      <c r="A21" s="264" t="s">
        <v>452</v>
      </c>
      <c r="B21" s="265"/>
      <c r="C21" s="265"/>
      <c r="D21" s="265"/>
      <c r="E21" s="265"/>
      <c r="F21" s="470">
        <f>250</f>
        <v>250</v>
      </c>
      <c r="G21" s="470">
        <v>0</v>
      </c>
      <c r="H21" s="470">
        <v>0</v>
      </c>
      <c r="I21" s="470"/>
      <c r="J21" s="470"/>
      <c r="K21" s="470"/>
      <c r="L21" s="470"/>
      <c r="M21" s="470"/>
      <c r="N21" s="470"/>
      <c r="O21" s="470"/>
    </row>
    <row r="22" spans="1:15" ht="18" customHeight="1" x14ac:dyDescent="0.3">
      <c r="A22" s="264" t="s">
        <v>760</v>
      </c>
      <c r="B22" s="265"/>
      <c r="C22" s="265"/>
      <c r="D22" s="265"/>
      <c r="E22" s="265"/>
      <c r="F22" s="470">
        <v>0</v>
      </c>
      <c r="G22" s="470">
        <v>0</v>
      </c>
      <c r="H22" s="470">
        <f>140*12</f>
        <v>1680</v>
      </c>
      <c r="I22" s="470">
        <f>175*12</f>
        <v>2100</v>
      </c>
      <c r="J22" s="470">
        <f>175*12</f>
        <v>2100</v>
      </c>
      <c r="K22" s="470">
        <f>175*12</f>
        <v>2100</v>
      </c>
      <c r="L22" s="470">
        <f>175*12</f>
        <v>2100</v>
      </c>
      <c r="M22" s="470">
        <f>46.68*50</f>
        <v>2334</v>
      </c>
      <c r="N22" s="470">
        <f>(46.68*100)*1.25</f>
        <v>5835</v>
      </c>
      <c r="O22" s="470">
        <f>((61.95*70)+500.5+(42*98.88)+435)*1.15</f>
        <v>10838.703999999998</v>
      </c>
    </row>
    <row r="23" spans="1:15" ht="18" hidden="1" customHeight="1" x14ac:dyDescent="0.3">
      <c r="A23" s="264" t="s">
        <v>543</v>
      </c>
      <c r="B23" s="580"/>
      <c r="C23" s="580"/>
      <c r="D23" s="580"/>
      <c r="E23" s="580"/>
      <c r="F23" s="581">
        <v>0</v>
      </c>
      <c r="G23" s="581">
        <v>0</v>
      </c>
      <c r="H23" s="581">
        <f>8.75*35*12</f>
        <v>3675</v>
      </c>
      <c r="I23" s="581"/>
      <c r="J23" s="581"/>
      <c r="K23" s="581"/>
      <c r="L23" s="581"/>
      <c r="M23" s="581"/>
      <c r="N23" s="581"/>
      <c r="O23" s="581"/>
    </row>
    <row r="24" spans="1:15" ht="18" hidden="1" customHeight="1" x14ac:dyDescent="0.3">
      <c r="A24" s="264" t="s">
        <v>501</v>
      </c>
      <c r="B24" s="580"/>
      <c r="C24" s="580"/>
      <c r="D24" s="580"/>
      <c r="E24" s="580"/>
      <c r="F24" s="581">
        <v>0</v>
      </c>
      <c r="G24" s="581">
        <v>0</v>
      </c>
      <c r="H24" s="581">
        <f>9*64*12</f>
        <v>6912</v>
      </c>
      <c r="I24" s="581">
        <f>512*12</f>
        <v>6144</v>
      </c>
      <c r="J24" s="581">
        <f>64*9</f>
        <v>576</v>
      </c>
      <c r="K24" s="581">
        <f>64*9</f>
        <v>576</v>
      </c>
      <c r="L24" s="581">
        <f>64*9</f>
        <v>576</v>
      </c>
      <c r="M24" s="581">
        <v>0</v>
      </c>
      <c r="N24" s="581">
        <v>0</v>
      </c>
      <c r="O24" s="581">
        <v>0</v>
      </c>
    </row>
    <row r="25" spans="1:15" ht="18" hidden="1" customHeight="1" x14ac:dyDescent="0.3">
      <c r="A25" s="264" t="s">
        <v>645</v>
      </c>
      <c r="B25" s="580"/>
      <c r="C25" s="580"/>
      <c r="D25" s="580"/>
      <c r="E25" s="580"/>
      <c r="F25" s="581"/>
      <c r="G25" s="581"/>
      <c r="H25" s="581"/>
      <c r="I25" s="581"/>
      <c r="J25" s="581">
        <v>14000</v>
      </c>
      <c r="K25" s="581">
        <f>3500*3</f>
        <v>10500</v>
      </c>
      <c r="L25" s="581">
        <v>0</v>
      </c>
      <c r="M25" s="581">
        <v>0</v>
      </c>
      <c r="N25" s="581">
        <v>0</v>
      </c>
      <c r="O25" s="581">
        <v>0</v>
      </c>
    </row>
    <row r="26" spans="1:15" ht="18" customHeight="1" x14ac:dyDescent="0.3">
      <c r="A26" s="264" t="s">
        <v>647</v>
      </c>
      <c r="B26" s="580"/>
      <c r="C26" s="580"/>
      <c r="D26" s="580"/>
      <c r="E26" s="580"/>
      <c r="F26" s="581"/>
      <c r="G26" s="581"/>
      <c r="H26" s="581"/>
      <c r="I26" s="581"/>
      <c r="J26" s="581"/>
      <c r="K26" s="581"/>
      <c r="L26" s="581">
        <v>944</v>
      </c>
      <c r="M26" s="581">
        <v>1000</v>
      </c>
      <c r="N26" s="581">
        <v>1500</v>
      </c>
      <c r="O26" s="581">
        <v>1500</v>
      </c>
    </row>
    <row r="27" spans="1:15" ht="18" customHeight="1" x14ac:dyDescent="0.3">
      <c r="A27" s="264" t="s">
        <v>690</v>
      </c>
      <c r="B27" s="580"/>
      <c r="C27" s="580"/>
      <c r="D27" s="580"/>
      <c r="E27" s="580"/>
      <c r="F27" s="581"/>
      <c r="G27" s="581"/>
      <c r="H27" s="581"/>
      <c r="I27" s="581"/>
      <c r="J27" s="581"/>
      <c r="K27" s="581"/>
      <c r="L27" s="581">
        <v>0</v>
      </c>
      <c r="M27" s="581">
        <f>60*257.28</f>
        <v>15436.8</v>
      </c>
      <c r="N27" s="581">
        <f>(60*257.28)*1.25</f>
        <v>19296</v>
      </c>
      <c r="O27" s="581">
        <f>(60*257.28)*1.25</f>
        <v>19296</v>
      </c>
    </row>
    <row r="28" spans="1:15" ht="18" customHeight="1" thickBot="1" x14ac:dyDescent="0.35">
      <c r="A28" s="310"/>
      <c r="B28" s="309">
        <v>-8000</v>
      </c>
      <c r="C28" s="309"/>
      <c r="D28" s="309"/>
      <c r="E28" s="309"/>
      <c r="F28" s="472"/>
      <c r="G28" s="472"/>
      <c r="H28" s="472"/>
      <c r="I28" s="472"/>
      <c r="J28" s="472"/>
      <c r="K28" s="472"/>
      <c r="L28" s="472"/>
      <c r="M28" s="472"/>
      <c r="N28" s="472"/>
      <c r="O28" s="472"/>
    </row>
    <row r="29" spans="1:15" ht="18" customHeight="1" x14ac:dyDescent="0.3">
      <c r="A29" s="170" t="s">
        <v>87</v>
      </c>
      <c r="B29" s="286">
        <f t="shared" ref="B29:H29" si="0">SUM(B4:B28)</f>
        <v>11350</v>
      </c>
      <c r="C29" s="286">
        <f t="shared" si="0"/>
        <v>23300</v>
      </c>
      <c r="D29" s="286">
        <f t="shared" si="0"/>
        <v>20000</v>
      </c>
      <c r="E29" s="286">
        <f t="shared" si="0"/>
        <v>25095</v>
      </c>
      <c r="F29" s="473">
        <f t="shared" si="0"/>
        <v>17800</v>
      </c>
      <c r="G29" s="473">
        <f>SUM(G4:G28)</f>
        <v>16500</v>
      </c>
      <c r="H29" s="473">
        <f t="shared" si="0"/>
        <v>28477</v>
      </c>
      <c r="I29" s="473">
        <f t="shared" ref="I29:N29" si="1">SUM(I4:I28)</f>
        <v>31619</v>
      </c>
      <c r="J29" s="473">
        <f t="shared" si="1"/>
        <v>40856</v>
      </c>
      <c r="K29" s="473">
        <f t="shared" si="1"/>
        <v>38201</v>
      </c>
      <c r="L29" s="473">
        <f t="shared" si="1"/>
        <v>42633</v>
      </c>
      <c r="M29" s="473">
        <f t="shared" si="1"/>
        <v>61215.8</v>
      </c>
      <c r="N29" s="473">
        <f t="shared" si="1"/>
        <v>74337.25</v>
      </c>
      <c r="O29" s="473">
        <f t="shared" ref="O29" si="2">SUM(O4:O28)</f>
        <v>79340.953999999998</v>
      </c>
    </row>
    <row r="30" spans="1:15" ht="18" customHeight="1" x14ac:dyDescent="0.3"/>
    <row r="31" spans="1:15" ht="18" customHeight="1" x14ac:dyDescent="0.3">
      <c r="A31" s="18"/>
      <c r="B31" s="18"/>
    </row>
    <row r="32" spans="1:15" ht="18" customHeight="1" x14ac:dyDescent="0.3">
      <c r="A32" s="18"/>
      <c r="B32" s="18"/>
    </row>
    <row r="33" spans="1:9" s="36" customFormat="1" ht="20.2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8.75" customHeight="1" x14ac:dyDescent="0.3">
      <c r="A34" s="18"/>
      <c r="B34" s="18"/>
    </row>
    <row r="35" spans="1:9" ht="18.75" customHeight="1" x14ac:dyDescent="0.3">
      <c r="A35" s="18"/>
      <c r="B35" s="18"/>
    </row>
    <row r="36" spans="1:9" ht="18.75" customHeight="1" x14ac:dyDescent="0.3">
      <c r="A36" s="18"/>
      <c r="B36" s="18"/>
    </row>
    <row r="37" spans="1:9" ht="18" customHeight="1" x14ac:dyDescent="0.3">
      <c r="A37" s="18"/>
      <c r="B37" s="18"/>
    </row>
    <row r="38" spans="1:9" ht="18" customHeight="1" x14ac:dyDescent="0.3">
      <c r="A38" s="18"/>
      <c r="B38" s="18"/>
    </row>
    <row r="39" spans="1:9" ht="18" customHeight="1" x14ac:dyDescent="0.3">
      <c r="A39" s="18"/>
      <c r="B39" s="18"/>
    </row>
    <row r="40" spans="1:9" ht="18" customHeight="1" x14ac:dyDescent="0.3">
      <c r="A40" s="18"/>
      <c r="B40" s="18"/>
    </row>
    <row r="41" spans="1:9" ht="18" customHeight="1" x14ac:dyDescent="0.3">
      <c r="A41" s="18"/>
      <c r="B41" s="18"/>
    </row>
    <row r="42" spans="1:9" ht="18" customHeight="1" x14ac:dyDescent="0.3">
      <c r="A42" s="18"/>
      <c r="B42" s="18"/>
    </row>
    <row r="43" spans="1:9" ht="18" customHeight="1" x14ac:dyDescent="0.3">
      <c r="A43" s="18"/>
      <c r="B43" s="18"/>
    </row>
    <row r="44" spans="1:9" ht="18" customHeight="1" x14ac:dyDescent="0.3">
      <c r="A44" s="18"/>
      <c r="B44" s="18"/>
    </row>
    <row r="45" spans="1:9" ht="18" customHeight="1" x14ac:dyDescent="0.3">
      <c r="A45" s="18"/>
      <c r="B45" s="18"/>
    </row>
    <row r="46" spans="1:9" ht="18" customHeight="1" x14ac:dyDescent="0.3">
      <c r="A46" s="18"/>
      <c r="B46" s="18"/>
    </row>
    <row r="47" spans="1:9" ht="18" customHeight="1" x14ac:dyDescent="0.3">
      <c r="A47" s="18"/>
      <c r="B47" s="18"/>
    </row>
    <row r="48" spans="1:9" ht="18" customHeight="1" x14ac:dyDescent="0.3">
      <c r="A48" s="18"/>
      <c r="B48" s="18"/>
    </row>
    <row r="49" s="18" customFormat="1" ht="18" customHeight="1" x14ac:dyDescent="0.3"/>
    <row r="50" s="18" customFormat="1" ht="18" customHeight="1" x14ac:dyDescent="0.3"/>
    <row r="51" s="18" customFormat="1" ht="18" customHeight="1" x14ac:dyDescent="0.3"/>
    <row r="52" s="18" customFormat="1" ht="18" customHeight="1" x14ac:dyDescent="0.3"/>
    <row r="53" s="18" customFormat="1" ht="18" customHeight="1" x14ac:dyDescent="0.3"/>
    <row r="54" s="18" customFormat="1" ht="18" customHeight="1" x14ac:dyDescent="0.3"/>
    <row r="55" s="18" customFormat="1" ht="18" customHeight="1" x14ac:dyDescent="0.3"/>
    <row r="56" s="18" customFormat="1" ht="18" customHeight="1" x14ac:dyDescent="0.3"/>
    <row r="57" s="18" customFormat="1" ht="18" customHeight="1" x14ac:dyDescent="0.3"/>
    <row r="58" s="18" customFormat="1" ht="18" customHeight="1" x14ac:dyDescent="0.3"/>
    <row r="59" s="18" customFormat="1" ht="18" customHeight="1" x14ac:dyDescent="0.3"/>
    <row r="60" s="18" customFormat="1" ht="18" customHeight="1" x14ac:dyDescent="0.3"/>
    <row r="61" s="18" customFormat="1" ht="18" customHeight="1" x14ac:dyDescent="0.3"/>
    <row r="62" s="18" customFormat="1" ht="18" customHeight="1" x14ac:dyDescent="0.3"/>
    <row r="63" s="18" customFormat="1" ht="18" customHeight="1" x14ac:dyDescent="0.3"/>
    <row r="64" s="18" customFormat="1" ht="18" customHeight="1" x14ac:dyDescent="0.3"/>
    <row r="65" s="18" customFormat="1" ht="18" customHeight="1" x14ac:dyDescent="0.3"/>
    <row r="66" s="18" customFormat="1" ht="18" customHeight="1" x14ac:dyDescent="0.3"/>
    <row r="67" s="18" customFormat="1" ht="18" customHeight="1" x14ac:dyDescent="0.3"/>
    <row r="68" s="18" customFormat="1" ht="18" customHeight="1" x14ac:dyDescent="0.3"/>
    <row r="69" s="18" customFormat="1" ht="18" customHeight="1" x14ac:dyDescent="0.3"/>
    <row r="70" s="18" customFormat="1" ht="18" customHeight="1" x14ac:dyDescent="0.3"/>
    <row r="71" s="18" customFormat="1" ht="18" customHeight="1" x14ac:dyDescent="0.3"/>
    <row r="72" s="18" customFormat="1" ht="18" customHeight="1" x14ac:dyDescent="0.3"/>
    <row r="73" s="18" customFormat="1" ht="18.75" customHeight="1" x14ac:dyDescent="0.3"/>
    <row r="74" s="18" customFormat="1" ht="18.75" customHeight="1" x14ac:dyDescent="0.3"/>
    <row r="75" s="18" customFormat="1" ht="18.75" customHeight="1" x14ac:dyDescent="0.3"/>
    <row r="76" s="18" customFormat="1" ht="18.75" customHeight="1" x14ac:dyDescent="0.3"/>
    <row r="77" s="18" customFormat="1" ht="18.75" customHeight="1" x14ac:dyDescent="0.3"/>
    <row r="78" s="18" customFormat="1" ht="18.75" customHeight="1" x14ac:dyDescent="0.3"/>
    <row r="79" s="18" customFormat="1" ht="18.75" customHeight="1" x14ac:dyDescent="0.3"/>
    <row r="80" s="18" customFormat="1" ht="18.75" customHeight="1" x14ac:dyDescent="0.3"/>
    <row r="81" s="18" customFormat="1" ht="18.75" customHeight="1" x14ac:dyDescent="0.3"/>
    <row r="82" s="18" customFormat="1" ht="18.75" customHeight="1" x14ac:dyDescent="0.3"/>
    <row r="83" s="18" customFormat="1" ht="18.75" customHeight="1" x14ac:dyDescent="0.3"/>
    <row r="84" s="18" customFormat="1" ht="18.75" customHeight="1" x14ac:dyDescent="0.3"/>
    <row r="85" s="18" customFormat="1" ht="18.75" customHeight="1" x14ac:dyDescent="0.3"/>
    <row r="86" s="18" customFormat="1" ht="18.75" customHeight="1" x14ac:dyDescent="0.3"/>
    <row r="87" s="18" customFormat="1" ht="18.75" customHeight="1" x14ac:dyDescent="0.3"/>
    <row r="88" s="18" customFormat="1" ht="18.75" customHeight="1" x14ac:dyDescent="0.3"/>
    <row r="89" s="18" customFormat="1" ht="18.75" customHeight="1" x14ac:dyDescent="0.3"/>
    <row r="90" s="18" customFormat="1" ht="18.75" customHeight="1" x14ac:dyDescent="0.3"/>
    <row r="91" s="18" customFormat="1" ht="18.75" customHeight="1" x14ac:dyDescent="0.3"/>
    <row r="92" s="18" customFormat="1" ht="18.75" customHeight="1" x14ac:dyDescent="0.3"/>
    <row r="93" s="18" customFormat="1" ht="18.75" customHeight="1" x14ac:dyDescent="0.3"/>
    <row r="94" s="18" customFormat="1" ht="18.75" customHeight="1" x14ac:dyDescent="0.3"/>
    <row r="95" s="18" customFormat="1" ht="18.75" customHeight="1" x14ac:dyDescent="0.3"/>
    <row r="96" s="18" customFormat="1" ht="18.75" customHeight="1" x14ac:dyDescent="0.3"/>
    <row r="97" s="18" customFormat="1" ht="18.75" customHeight="1" x14ac:dyDescent="0.3"/>
    <row r="98" s="18" customFormat="1" ht="18.75" customHeight="1" x14ac:dyDescent="0.3"/>
    <row r="99" s="18" customFormat="1" ht="18.75" customHeight="1" x14ac:dyDescent="0.3"/>
    <row r="100" s="18" customFormat="1" ht="18.75" customHeight="1" x14ac:dyDescent="0.3"/>
    <row r="101" s="18" customFormat="1" ht="18.75" customHeight="1" x14ac:dyDescent="0.3"/>
    <row r="102" s="18" customFormat="1" ht="18.75" customHeight="1" x14ac:dyDescent="0.3"/>
    <row r="103" s="18" customFormat="1" ht="18.75" customHeight="1" x14ac:dyDescent="0.3"/>
    <row r="104" s="18" customFormat="1" ht="18.75" customHeight="1" x14ac:dyDescent="0.3"/>
    <row r="105" s="18" customFormat="1" ht="18.75" customHeight="1" x14ac:dyDescent="0.3"/>
    <row r="106" s="18" customFormat="1" ht="18.75" customHeight="1" x14ac:dyDescent="0.3"/>
    <row r="107" s="18" customFormat="1" ht="18.75" customHeight="1" x14ac:dyDescent="0.3"/>
    <row r="108" s="18" customFormat="1" ht="18.75" customHeight="1" x14ac:dyDescent="0.3"/>
    <row r="109" s="18" customFormat="1" ht="18.75" customHeight="1" x14ac:dyDescent="0.3"/>
    <row r="110" s="18" customFormat="1" ht="18.75" customHeight="1" x14ac:dyDescent="0.3"/>
    <row r="111" s="18" customFormat="1" ht="18.75" customHeight="1" x14ac:dyDescent="0.3"/>
    <row r="112" s="18" customFormat="1" ht="18.75" customHeight="1" x14ac:dyDescent="0.3"/>
    <row r="113" s="18" customFormat="1" ht="18.75" customHeight="1" x14ac:dyDescent="0.3"/>
    <row r="114" s="18" customFormat="1" ht="18.75" customHeight="1" x14ac:dyDescent="0.3"/>
  </sheetData>
  <sortState xmlns:xlrd2="http://schemas.microsoft.com/office/spreadsheetml/2017/richdata2" ref="A5:E27">
    <sortCondition ref="A5"/>
  </sortState>
  <phoneticPr fontId="21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14"/>
  <sheetViews>
    <sheetView workbookViewId="0"/>
  </sheetViews>
  <sheetFormatPr defaultColWidth="9.140625" defaultRowHeight="18.75" customHeight="1" x14ac:dyDescent="0.2"/>
  <cols>
    <col min="1" max="1" width="22.42578125" style="9" bestFit="1" customWidth="1"/>
    <col min="2" max="2" width="10.7109375" style="10" hidden="1" customWidth="1"/>
    <col min="3" max="8" width="10.7109375" style="66" hidden="1" customWidth="1"/>
    <col min="9" max="12" width="0" style="66" hidden="1" customWidth="1"/>
    <col min="13" max="16384" width="9.140625" style="66"/>
  </cols>
  <sheetData>
    <row r="1" spans="1:15" s="140" customFormat="1" ht="22.5" customHeight="1" x14ac:dyDescent="0.3">
      <c r="A1" s="167" t="s">
        <v>420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140" customFormat="1" ht="18.75" customHeight="1" x14ac:dyDescent="0.3">
      <c r="A3" s="74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141" customFormat="1" ht="18.75" customHeight="1" x14ac:dyDescent="0.3">
      <c r="A4" s="42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18.75" customHeight="1" x14ac:dyDescent="0.3">
      <c r="A5" s="42" t="s">
        <v>213</v>
      </c>
      <c r="B5" s="32">
        <v>50</v>
      </c>
      <c r="C5" s="32">
        <v>50</v>
      </c>
      <c r="D5" s="32">
        <v>50</v>
      </c>
      <c r="E5" s="32">
        <v>50</v>
      </c>
      <c r="F5" s="401">
        <v>40</v>
      </c>
      <c r="G5" s="401">
        <v>40</v>
      </c>
      <c r="H5" s="401">
        <v>40</v>
      </c>
      <c r="I5" s="401">
        <v>40</v>
      </c>
      <c r="J5" s="401">
        <v>40</v>
      </c>
      <c r="K5" s="401">
        <v>40</v>
      </c>
      <c r="L5" s="401">
        <v>40</v>
      </c>
      <c r="M5" s="401">
        <v>40</v>
      </c>
      <c r="N5" s="401">
        <v>50</v>
      </c>
      <c r="O5" s="401">
        <v>50</v>
      </c>
    </row>
    <row r="6" spans="1:15" ht="18.75" hidden="1" customHeight="1" x14ac:dyDescent="0.3">
      <c r="A6" s="42" t="s">
        <v>212</v>
      </c>
      <c r="B6" s="32">
        <v>1000</v>
      </c>
      <c r="C6" s="32"/>
      <c r="D6" s="32">
        <v>1800</v>
      </c>
      <c r="E6" s="32" t="s">
        <v>439</v>
      </c>
      <c r="F6" s="401" t="s">
        <v>439</v>
      </c>
      <c r="G6" s="401" t="s">
        <v>439</v>
      </c>
      <c r="H6" s="401" t="s">
        <v>439</v>
      </c>
      <c r="I6" s="401" t="s">
        <v>439</v>
      </c>
      <c r="J6" s="401" t="s">
        <v>439</v>
      </c>
      <c r="K6" s="401" t="s">
        <v>439</v>
      </c>
      <c r="L6" s="401" t="s">
        <v>439</v>
      </c>
      <c r="M6" s="401" t="s">
        <v>439</v>
      </c>
      <c r="N6" s="401" t="s">
        <v>439</v>
      </c>
      <c r="O6" s="401" t="s">
        <v>439</v>
      </c>
    </row>
    <row r="7" spans="1:15" ht="18.75" customHeight="1" x14ac:dyDescent="0.3">
      <c r="A7" s="42" t="s">
        <v>691</v>
      </c>
      <c r="B7" s="32">
        <v>40</v>
      </c>
      <c r="C7" s="32">
        <v>50</v>
      </c>
      <c r="D7" s="32">
        <v>50</v>
      </c>
      <c r="E7" s="32">
        <v>50</v>
      </c>
      <c r="F7" s="401">
        <v>75</v>
      </c>
      <c r="G7" s="401">
        <v>75</v>
      </c>
      <c r="H7" s="401">
        <v>200</v>
      </c>
      <c r="I7" s="401">
        <v>200</v>
      </c>
      <c r="J7" s="401">
        <v>350</v>
      </c>
      <c r="K7" s="401">
        <v>350</v>
      </c>
      <c r="L7" s="401">
        <v>350</v>
      </c>
      <c r="M7" s="401">
        <v>800</v>
      </c>
      <c r="N7" s="401">
        <v>1200</v>
      </c>
      <c r="O7" s="401">
        <v>1500</v>
      </c>
    </row>
    <row r="8" spans="1:15" ht="18.75" customHeight="1" x14ac:dyDescent="0.3">
      <c r="A8" s="42" t="s">
        <v>214</v>
      </c>
      <c r="B8" s="46">
        <v>10</v>
      </c>
      <c r="C8" s="46">
        <v>10</v>
      </c>
      <c r="D8" s="46">
        <v>10</v>
      </c>
      <c r="E8" s="46">
        <v>10</v>
      </c>
      <c r="F8" s="395">
        <v>10</v>
      </c>
      <c r="G8" s="395">
        <v>10</v>
      </c>
      <c r="H8" s="395">
        <v>10</v>
      </c>
      <c r="I8" s="395">
        <v>10</v>
      </c>
      <c r="J8" s="395">
        <v>10</v>
      </c>
      <c r="K8" s="395">
        <v>10</v>
      </c>
      <c r="L8" s="395">
        <v>10</v>
      </c>
      <c r="M8" s="395">
        <v>10</v>
      </c>
      <c r="N8" s="395">
        <v>0</v>
      </c>
      <c r="O8" s="395">
        <v>0</v>
      </c>
    </row>
    <row r="9" spans="1:15" ht="18.75" customHeight="1" x14ac:dyDescent="0.3">
      <c r="A9" s="42" t="s">
        <v>215</v>
      </c>
      <c r="B9" s="32">
        <v>800</v>
      </c>
      <c r="C9" s="32">
        <v>750</v>
      </c>
      <c r="D9" s="32">
        <v>750</v>
      </c>
      <c r="E9" s="32">
        <v>750</v>
      </c>
      <c r="F9" s="401">
        <v>750</v>
      </c>
      <c r="G9" s="401">
        <v>750</v>
      </c>
      <c r="H9" s="401">
        <v>800</v>
      </c>
      <c r="I9" s="401">
        <v>800</v>
      </c>
      <c r="J9" s="401">
        <v>1000</v>
      </c>
      <c r="K9" s="401">
        <v>1000</v>
      </c>
      <c r="L9" s="401">
        <v>1000</v>
      </c>
      <c r="M9" s="401">
        <v>1000</v>
      </c>
      <c r="N9" s="401">
        <v>1500</v>
      </c>
      <c r="O9" s="401">
        <v>1750</v>
      </c>
    </row>
    <row r="10" spans="1:15" s="140" customFormat="1" ht="18.75" customHeight="1" thickBot="1" x14ac:dyDescent="0.35">
      <c r="A10" s="214"/>
      <c r="B10" s="212">
        <v>-1100</v>
      </c>
      <c r="C10" s="212"/>
      <c r="D10" s="212"/>
      <c r="E10" s="212"/>
      <c r="F10" s="474"/>
      <c r="G10" s="474"/>
      <c r="H10" s="474"/>
      <c r="I10" s="474"/>
      <c r="J10" s="474"/>
      <c r="K10" s="474"/>
      <c r="L10" s="474"/>
      <c r="M10" s="474"/>
      <c r="N10" s="474"/>
      <c r="O10" s="474"/>
    </row>
    <row r="11" spans="1:15" ht="18.75" customHeight="1" thickTop="1" x14ac:dyDescent="0.3">
      <c r="A11" s="80" t="s">
        <v>95</v>
      </c>
      <c r="B11" s="79">
        <f t="shared" ref="B11:J11" si="0">SUM(B4:B10)</f>
        <v>800</v>
      </c>
      <c r="C11" s="79">
        <f t="shared" si="0"/>
        <v>860</v>
      </c>
      <c r="D11" s="79">
        <f t="shared" si="0"/>
        <v>2660</v>
      </c>
      <c r="E11" s="79">
        <f t="shared" si="0"/>
        <v>860</v>
      </c>
      <c r="F11" s="465">
        <f t="shared" si="0"/>
        <v>875</v>
      </c>
      <c r="G11" s="465">
        <f t="shared" si="0"/>
        <v>875</v>
      </c>
      <c r="H11" s="465">
        <f t="shared" si="0"/>
        <v>1050</v>
      </c>
      <c r="I11" s="465">
        <f t="shared" si="0"/>
        <v>1050</v>
      </c>
      <c r="J11" s="465">
        <f t="shared" si="0"/>
        <v>1400</v>
      </c>
      <c r="K11" s="465">
        <f>SUM(K4:K10)</f>
        <v>1400</v>
      </c>
      <c r="L11" s="465">
        <f>SUM(L4:L10)</f>
        <v>1400</v>
      </c>
      <c r="M11" s="465">
        <f>SUM(M4:M10)</f>
        <v>1850</v>
      </c>
      <c r="N11" s="465">
        <f>SUM(N4:N10)</f>
        <v>2750</v>
      </c>
      <c r="O11" s="465">
        <f>SUM(O4:O10)</f>
        <v>3300</v>
      </c>
    </row>
    <row r="12" spans="1:15" ht="18.75" customHeight="1" x14ac:dyDescent="0.3">
      <c r="A12" s="67"/>
      <c r="B12" s="35"/>
      <c r="C12" s="18"/>
    </row>
    <row r="13" spans="1:15" ht="18.75" customHeight="1" x14ac:dyDescent="0.3">
      <c r="A13" s="11"/>
      <c r="B13" s="35"/>
      <c r="C13" s="18"/>
    </row>
    <row r="14" spans="1:15" ht="18.75" customHeight="1" x14ac:dyDescent="0.3">
      <c r="A14" s="67"/>
      <c r="B14" s="35"/>
      <c r="C14" s="18"/>
    </row>
  </sheetData>
  <sortState xmlns:xlrd2="http://schemas.microsoft.com/office/spreadsheetml/2017/richdata2" ref="A5:E9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workbookViewId="0"/>
  </sheetViews>
  <sheetFormatPr defaultColWidth="9.140625" defaultRowHeight="14.25" x14ac:dyDescent="0.2"/>
  <cols>
    <col min="1" max="1" width="33.140625" style="66" bestFit="1" customWidth="1"/>
    <col min="2" max="8" width="11.7109375" style="66" hidden="1" customWidth="1"/>
    <col min="9" max="12" width="0" style="66" hidden="1" customWidth="1"/>
    <col min="13" max="15" width="9.5703125" style="66" bestFit="1" customWidth="1"/>
    <col min="16" max="16384" width="9.140625" style="66"/>
  </cols>
  <sheetData>
    <row r="1" spans="1:15" ht="21" customHeight="1" x14ac:dyDescent="0.3">
      <c r="A1" s="351" t="s">
        <v>398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6.5" customHeight="1" x14ac:dyDescent="0.3">
      <c r="A2" s="149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7.2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ht="18" customHeight="1" x14ac:dyDescent="0.3">
      <c r="A4" s="149"/>
      <c r="B4" s="71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</row>
    <row r="5" spans="1:15" ht="16.5" x14ac:dyDescent="0.3">
      <c r="A5" s="28" t="s">
        <v>18</v>
      </c>
      <c r="B5" s="32">
        <v>28381.3</v>
      </c>
      <c r="C5" s="558">
        <v>32891.56</v>
      </c>
      <c r="D5" s="558">
        <f>REVENUE!E7*0.02</f>
        <v>33713.840000000004</v>
      </c>
      <c r="E5" s="558">
        <f>REVENUE!F7*0.02</f>
        <v>43741.98</v>
      </c>
      <c r="F5" s="559">
        <f>REVENUE!G7*0.02</f>
        <v>47827.66</v>
      </c>
      <c r="G5" s="559">
        <f>REVENUE!H7*0.02</f>
        <v>49740.766400000008</v>
      </c>
      <c r="H5" s="559">
        <f>REVENUE!I7*0.02</f>
        <v>51979.100888000001</v>
      </c>
      <c r="I5" s="559">
        <f>REVENUE!J7*0.02</f>
        <v>43671.055932400006</v>
      </c>
      <c r="J5" s="559">
        <f>REVENUE!K7*0.02</f>
        <v>60554.6</v>
      </c>
      <c r="K5" s="559">
        <f>REVENUE!L7*0.02</f>
        <v>60554.6</v>
      </c>
      <c r="L5" s="559">
        <v>78601</v>
      </c>
      <c r="M5" s="559">
        <f>REVENUE!N7*0.02</f>
        <v>101738.07</v>
      </c>
      <c r="N5" s="559">
        <f>REVENUE!O7*0.02</f>
        <v>100395.223</v>
      </c>
      <c r="O5" s="559">
        <f>REVENUE!P7*0.02</f>
        <v>106839.6875</v>
      </c>
    </row>
    <row r="6" spans="1:15" ht="16.5" x14ac:dyDescent="0.3">
      <c r="A6" s="28" t="s">
        <v>360</v>
      </c>
      <c r="B6" s="32">
        <v>200</v>
      </c>
      <c r="C6" s="558">
        <v>200</v>
      </c>
      <c r="D6" s="558">
        <v>50</v>
      </c>
      <c r="E6" s="558">
        <v>25</v>
      </c>
      <c r="F6" s="559"/>
      <c r="G6" s="559"/>
      <c r="H6" s="559"/>
      <c r="I6" s="559"/>
      <c r="J6" s="559"/>
      <c r="K6" s="559"/>
      <c r="L6" s="559"/>
      <c r="M6" s="559"/>
      <c r="N6" s="559"/>
      <c r="O6" s="559"/>
    </row>
    <row r="7" spans="1:15" ht="16.5" hidden="1" x14ac:dyDescent="0.3">
      <c r="A7" s="28" t="s">
        <v>31</v>
      </c>
      <c r="B7" s="46">
        <v>12000</v>
      </c>
      <c r="C7" s="302">
        <v>0</v>
      </c>
      <c r="D7" s="302"/>
      <c r="E7" s="302"/>
      <c r="F7" s="453"/>
      <c r="G7" s="453"/>
      <c r="H7" s="453"/>
      <c r="I7" s="453"/>
      <c r="J7" s="453"/>
      <c r="K7" s="453"/>
      <c r="L7" s="453"/>
      <c r="M7" s="453"/>
      <c r="N7" s="453"/>
      <c r="O7" s="453"/>
    </row>
    <row r="8" spans="1:15" ht="16.5" x14ac:dyDescent="0.3">
      <c r="A8" s="293"/>
      <c r="B8" s="46"/>
      <c r="C8" s="302"/>
      <c r="D8" s="302"/>
      <c r="E8" s="302"/>
      <c r="F8" s="453"/>
      <c r="G8" s="453"/>
      <c r="H8" s="453"/>
      <c r="I8" s="453"/>
      <c r="J8" s="453"/>
      <c r="K8" s="453"/>
      <c r="L8" s="453"/>
      <c r="M8" s="453"/>
      <c r="N8" s="453"/>
      <c r="O8" s="453"/>
    </row>
    <row r="9" spans="1:15" ht="16.5" x14ac:dyDescent="0.3">
      <c r="A9" s="298"/>
      <c r="B9" s="305">
        <v>3041.01</v>
      </c>
      <c r="C9" s="560"/>
      <c r="D9" s="560"/>
      <c r="E9" s="560"/>
      <c r="F9" s="561"/>
      <c r="G9" s="561"/>
      <c r="H9" s="561"/>
      <c r="I9" s="561"/>
      <c r="J9" s="561"/>
      <c r="K9" s="561"/>
      <c r="L9" s="561"/>
      <c r="M9" s="561"/>
      <c r="N9" s="561"/>
      <c r="O9" s="561"/>
    </row>
    <row r="10" spans="1:15" ht="16.5" x14ac:dyDescent="0.3">
      <c r="A10" s="297" t="s">
        <v>121</v>
      </c>
      <c r="B10" s="562">
        <f>SUM(B4:B8)</f>
        <v>40581.300000000003</v>
      </c>
      <c r="C10" s="562">
        <f>SUM(C4:C8)</f>
        <v>33091.56</v>
      </c>
      <c r="D10" s="562">
        <f>SUM(D4:D9)</f>
        <v>33763.840000000004</v>
      </c>
      <c r="E10" s="562">
        <f t="shared" ref="E10:O10" si="0">SUM(E4:E8)</f>
        <v>43766.98</v>
      </c>
      <c r="F10" s="563">
        <f t="shared" si="0"/>
        <v>47827.66</v>
      </c>
      <c r="G10" s="563">
        <f t="shared" si="0"/>
        <v>49740.766400000008</v>
      </c>
      <c r="H10" s="563">
        <f t="shared" si="0"/>
        <v>51979.100888000001</v>
      </c>
      <c r="I10" s="563">
        <f t="shared" si="0"/>
        <v>43671.055932400006</v>
      </c>
      <c r="J10" s="563">
        <f t="shared" si="0"/>
        <v>60554.6</v>
      </c>
      <c r="K10" s="563">
        <f t="shared" si="0"/>
        <v>60554.6</v>
      </c>
      <c r="L10" s="563">
        <f t="shared" si="0"/>
        <v>78601</v>
      </c>
      <c r="M10" s="563">
        <f t="shared" si="0"/>
        <v>101738.07</v>
      </c>
      <c r="N10" s="563">
        <f t="shared" si="0"/>
        <v>100395.223</v>
      </c>
      <c r="O10" s="563">
        <f t="shared" si="0"/>
        <v>106839.6875</v>
      </c>
    </row>
    <row r="11" spans="1:15" ht="16.5" x14ac:dyDescent="0.3">
      <c r="A11" s="36"/>
      <c r="B11" s="18"/>
    </row>
    <row r="12" spans="1:15" ht="16.5" x14ac:dyDescent="0.3">
      <c r="A12" s="18"/>
      <c r="B12" s="18"/>
    </row>
    <row r="13" spans="1:15" ht="16.5" x14ac:dyDescent="0.3">
      <c r="A13" s="18"/>
      <c r="B13" s="18"/>
    </row>
    <row r="15" spans="1:15" ht="16.5" x14ac:dyDescent="0.3">
      <c r="A15" s="18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12" width="0" style="1" hidden="1" customWidth="1"/>
    <col min="13" max="15" width="10" style="1" bestFit="1" customWidth="1"/>
    <col min="16" max="16384" width="9.140625" style="1"/>
  </cols>
  <sheetData>
    <row r="1" spans="1:19" s="2" customFormat="1" ht="24" customHeight="1" x14ac:dyDescent="0.25">
      <c r="A1" s="200" t="s">
        <v>421</v>
      </c>
      <c r="B1" s="6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/>
      <c r="Q1"/>
      <c r="R1"/>
      <c r="S1"/>
    </row>
    <row r="2" spans="1:19" ht="18.75" customHeight="1" x14ac:dyDescent="0.25">
      <c r="A2" s="41"/>
      <c r="B2" s="2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/>
      <c r="Q2"/>
      <c r="R2"/>
      <c r="S2"/>
    </row>
    <row r="3" spans="1:19" s="2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  <c r="P3"/>
      <c r="Q3"/>
      <c r="R3"/>
      <c r="S3"/>
    </row>
    <row r="4" spans="1:19" s="5" customFormat="1" ht="18.75" customHeight="1" x14ac:dyDescent="0.3">
      <c r="A4" s="71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  <c r="P4"/>
      <c r="Q4"/>
      <c r="R4"/>
      <c r="S4"/>
    </row>
    <row r="5" spans="1:19" s="2" customFormat="1" ht="24.95" customHeight="1" x14ac:dyDescent="0.3">
      <c r="A5" s="42" t="s">
        <v>98</v>
      </c>
      <c r="B5" s="31"/>
      <c r="C5" s="31"/>
      <c r="D5" s="31"/>
      <c r="E5" s="31"/>
      <c r="F5" s="434"/>
      <c r="G5" s="434"/>
      <c r="H5" s="434"/>
      <c r="I5" s="434"/>
      <c r="J5" s="434"/>
      <c r="K5" s="434"/>
      <c r="L5" s="434"/>
      <c r="M5" s="434"/>
      <c r="N5" s="434"/>
      <c r="O5" s="434"/>
      <c r="P5"/>
      <c r="Q5"/>
      <c r="R5"/>
      <c r="S5"/>
    </row>
    <row r="6" spans="1:19" ht="24.95" customHeight="1" thickBot="1" x14ac:dyDescent="0.35">
      <c r="A6" s="50" t="s">
        <v>364</v>
      </c>
      <c r="B6" s="33">
        <v>325</v>
      </c>
      <c r="C6" s="33">
        <v>325</v>
      </c>
      <c r="D6" s="33">
        <v>1091</v>
      </c>
      <c r="E6" s="33">
        <f>286*4</f>
        <v>1144</v>
      </c>
      <c r="F6" s="402">
        <v>1100</v>
      </c>
      <c r="G6" s="402">
        <v>1100</v>
      </c>
      <c r="H6" s="402">
        <v>1100</v>
      </c>
      <c r="I6" s="402">
        <v>1100</v>
      </c>
      <c r="J6" s="402">
        <f>1188*1.05</f>
        <v>1247.4000000000001</v>
      </c>
      <c r="K6" s="402">
        <f>1188*1.05</f>
        <v>1247.4000000000001</v>
      </c>
      <c r="L6" s="402">
        <v>1188</v>
      </c>
      <c r="M6" s="402">
        <v>1188</v>
      </c>
      <c r="N6" s="402">
        <v>1188</v>
      </c>
      <c r="O6" s="402">
        <v>1188</v>
      </c>
      <c r="P6"/>
      <c r="Q6"/>
      <c r="R6"/>
      <c r="S6"/>
    </row>
    <row r="7" spans="1:19" ht="24.95" customHeight="1" x14ac:dyDescent="0.3">
      <c r="A7" s="218" t="s">
        <v>221</v>
      </c>
      <c r="B7" s="219">
        <v>3000</v>
      </c>
      <c r="C7" s="219">
        <v>3500</v>
      </c>
      <c r="D7" s="219">
        <v>3092</v>
      </c>
      <c r="E7" s="219">
        <f>757.5*4</f>
        <v>3030</v>
      </c>
      <c r="F7" s="475">
        <v>3200</v>
      </c>
      <c r="G7" s="475">
        <v>3200</v>
      </c>
      <c r="H7" s="475">
        <v>3200</v>
      </c>
      <c r="I7" s="475">
        <v>3200</v>
      </c>
      <c r="J7" s="475">
        <f>3406*1.05</f>
        <v>3576.3</v>
      </c>
      <c r="K7" s="475">
        <f>3406*1.05</f>
        <v>3576.3</v>
      </c>
      <c r="L7" s="475">
        <v>3634</v>
      </c>
      <c r="M7" s="475">
        <v>3634</v>
      </c>
      <c r="N7" s="475">
        <v>3634</v>
      </c>
      <c r="O7" s="475">
        <v>3634</v>
      </c>
      <c r="P7"/>
      <c r="Q7"/>
      <c r="R7"/>
      <c r="S7"/>
    </row>
    <row r="8" spans="1:19" ht="24.95" customHeight="1" thickBot="1" x14ac:dyDescent="0.35">
      <c r="A8" s="215" t="s">
        <v>222</v>
      </c>
      <c r="B8" s="217">
        <v>4000</v>
      </c>
      <c r="C8" s="217">
        <v>4000</v>
      </c>
      <c r="D8" s="217">
        <v>3939</v>
      </c>
      <c r="E8" s="217">
        <f>1070*4</f>
        <v>4280</v>
      </c>
      <c r="F8" s="476">
        <v>5000</v>
      </c>
      <c r="G8" s="476">
        <v>5000</v>
      </c>
      <c r="H8" s="476">
        <v>5000</v>
      </c>
      <c r="I8" s="476">
        <v>5000</v>
      </c>
      <c r="J8" s="476">
        <f>5675*1.05</f>
        <v>5958.75</v>
      </c>
      <c r="K8" s="476">
        <f>5675*1.05</f>
        <v>5958.75</v>
      </c>
      <c r="L8" s="476">
        <v>6144</v>
      </c>
      <c r="M8" s="476">
        <v>6144</v>
      </c>
      <c r="N8" s="476">
        <v>6144</v>
      </c>
      <c r="O8" s="476">
        <v>6144</v>
      </c>
      <c r="P8"/>
      <c r="Q8"/>
      <c r="R8"/>
      <c r="S8"/>
    </row>
    <row r="9" spans="1:19" ht="24.95" customHeight="1" x14ac:dyDescent="0.3">
      <c r="A9" s="218" t="s">
        <v>220</v>
      </c>
      <c r="B9" s="219">
        <v>2500</v>
      </c>
      <c r="C9" s="219">
        <v>1500</v>
      </c>
      <c r="D9" s="219">
        <v>1541</v>
      </c>
      <c r="E9" s="219">
        <f>592*4</f>
        <v>2368</v>
      </c>
      <c r="F9" s="475">
        <v>2800</v>
      </c>
      <c r="G9" s="475">
        <v>2800</v>
      </c>
      <c r="H9" s="475">
        <v>3800</v>
      </c>
      <c r="I9" s="475">
        <v>3800</v>
      </c>
      <c r="J9" s="475">
        <f>4148*1.05</f>
        <v>4355.4000000000005</v>
      </c>
      <c r="K9" s="475">
        <f>4148*1.05</f>
        <v>4355.4000000000005</v>
      </c>
      <c r="L9" s="475">
        <v>4148</v>
      </c>
      <c r="M9" s="475">
        <v>4148</v>
      </c>
      <c r="N9" s="475">
        <v>4148</v>
      </c>
      <c r="O9" s="475">
        <v>4148</v>
      </c>
      <c r="P9"/>
      <c r="Q9"/>
      <c r="R9"/>
      <c r="S9"/>
    </row>
    <row r="10" spans="1:19" ht="24.95" customHeight="1" thickBot="1" x14ac:dyDescent="0.35">
      <c r="A10" s="215" t="s">
        <v>219</v>
      </c>
      <c r="B10" s="217">
        <v>10000</v>
      </c>
      <c r="C10" s="217">
        <v>10500</v>
      </c>
      <c r="D10" s="217">
        <v>10728</v>
      </c>
      <c r="E10" s="217">
        <f>3385*4</f>
        <v>13540</v>
      </c>
      <c r="F10" s="476">
        <v>15000</v>
      </c>
      <c r="G10" s="476">
        <v>15000</v>
      </c>
      <c r="H10" s="476">
        <v>16000</v>
      </c>
      <c r="I10" s="476">
        <v>16000</v>
      </c>
      <c r="J10" s="476">
        <f>19134*1.05</f>
        <v>20090.7</v>
      </c>
      <c r="K10" s="476">
        <f>19134*1.05</f>
        <v>20090.7</v>
      </c>
      <c r="L10" s="476">
        <v>18374</v>
      </c>
      <c r="M10" s="476">
        <v>18374</v>
      </c>
      <c r="N10" s="476">
        <v>18374</v>
      </c>
      <c r="O10" s="476">
        <v>18374</v>
      </c>
      <c r="P10"/>
      <c r="Q10"/>
      <c r="R10"/>
      <c r="S10"/>
    </row>
    <row r="11" spans="1:19" ht="24.95" customHeight="1" x14ac:dyDescent="0.3">
      <c r="A11" s="218" t="s">
        <v>217</v>
      </c>
      <c r="B11" s="220">
        <v>4500</v>
      </c>
      <c r="C11" s="220">
        <v>5000</v>
      </c>
      <c r="D11" s="220">
        <v>4945</v>
      </c>
      <c r="E11" s="220">
        <f>1342*4</f>
        <v>5368</v>
      </c>
      <c r="F11" s="477">
        <v>4600</v>
      </c>
      <c r="G11" s="477">
        <v>4600</v>
      </c>
      <c r="H11" s="477">
        <v>4800</v>
      </c>
      <c r="I11" s="477">
        <v>4800</v>
      </c>
      <c r="J11" s="477">
        <f>5186*1.05</f>
        <v>5445.3</v>
      </c>
      <c r="K11" s="477">
        <f>5186*1.05</f>
        <v>5445.3</v>
      </c>
      <c r="L11" s="477">
        <v>5459</v>
      </c>
      <c r="M11" s="477">
        <v>5459</v>
      </c>
      <c r="N11" s="477">
        <v>5459</v>
      </c>
      <c r="O11" s="477">
        <v>5459</v>
      </c>
      <c r="P11"/>
      <c r="Q11"/>
      <c r="R11"/>
      <c r="S11"/>
    </row>
    <row r="12" spans="1:19" ht="18.75" hidden="1" customHeight="1" x14ac:dyDescent="0.3">
      <c r="A12" s="50" t="s">
        <v>365</v>
      </c>
      <c r="B12" s="187"/>
      <c r="C12" s="187"/>
      <c r="D12" s="46">
        <v>34</v>
      </c>
      <c r="E12" s="46">
        <v>34</v>
      </c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/>
      <c r="Q12"/>
      <c r="R12"/>
      <c r="S12"/>
    </row>
    <row r="13" spans="1:19" ht="18.75" customHeight="1" x14ac:dyDescent="0.3">
      <c r="A13" s="50" t="s">
        <v>448</v>
      </c>
      <c r="B13" s="187"/>
      <c r="C13" s="187"/>
      <c r="D13" s="187"/>
      <c r="E13" s="46"/>
      <c r="F13" s="395">
        <f>950*2</f>
        <v>1900</v>
      </c>
      <c r="G13" s="395">
        <v>1900</v>
      </c>
      <c r="H13" s="395">
        <v>1900</v>
      </c>
      <c r="I13" s="395">
        <v>1900</v>
      </c>
      <c r="J13" s="395">
        <v>2000</v>
      </c>
      <c r="K13" s="395">
        <v>2000</v>
      </c>
      <c r="L13" s="395">
        <v>2000</v>
      </c>
      <c r="M13" s="395">
        <v>2000</v>
      </c>
      <c r="N13" s="395">
        <v>2000</v>
      </c>
      <c r="O13" s="395">
        <v>2000</v>
      </c>
      <c r="P13"/>
      <c r="Q13"/>
      <c r="R13"/>
      <c r="S13"/>
    </row>
    <row r="14" spans="1:19" ht="18.75" customHeight="1" x14ac:dyDescent="0.3">
      <c r="A14" s="50" t="s">
        <v>714</v>
      </c>
      <c r="B14" s="46"/>
      <c r="C14" s="46"/>
      <c r="D14" s="46"/>
      <c r="E14" s="46"/>
      <c r="F14" s="395"/>
      <c r="G14" s="395"/>
      <c r="H14" s="395"/>
      <c r="I14" s="395"/>
      <c r="J14" s="395"/>
      <c r="K14" s="395"/>
      <c r="L14" s="395"/>
      <c r="M14" s="46">
        <f>(M6+M7+M8+M9+M10+M11+M13)*0.05</f>
        <v>2047.3500000000001</v>
      </c>
      <c r="N14" s="46">
        <f>(N6+N7+N8+N9+N10+N11+N13+M14)*0.1</f>
        <v>4299.4350000000004</v>
      </c>
      <c r="O14" s="46">
        <f>(O6+O7+O8+O9+O10+O11+O13+N14)*0.1</f>
        <v>4524.6435000000001</v>
      </c>
      <c r="P14" s="190"/>
      <c r="Q14" s="190"/>
      <c r="R14" s="190"/>
      <c r="S14" s="190"/>
    </row>
    <row r="15" spans="1:19" ht="18.75" customHeight="1" thickBot="1" x14ac:dyDescent="0.35">
      <c r="A15" s="50"/>
      <c r="B15" s="212">
        <f>-825-26</f>
        <v>-851</v>
      </c>
      <c r="C15" s="212"/>
      <c r="D15" s="212"/>
      <c r="E15" s="212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190"/>
      <c r="Q15" s="190"/>
      <c r="R15" s="190"/>
      <c r="S15" s="190"/>
    </row>
    <row r="16" spans="1:19" ht="18.75" customHeight="1" thickTop="1" x14ac:dyDescent="0.3">
      <c r="A16" s="80" t="s">
        <v>95</v>
      </c>
      <c r="B16" s="34">
        <f>SUM(B4:B15)</f>
        <v>23474</v>
      </c>
      <c r="C16" s="34">
        <f>SUM(C4:C15)</f>
        <v>24825</v>
      </c>
      <c r="D16" s="34">
        <f>SUM(D4:D15)</f>
        <v>25370</v>
      </c>
      <c r="E16" s="34">
        <f>SUM(E4:E15)</f>
        <v>29764</v>
      </c>
      <c r="F16" s="403">
        <f>SUM(F6:F15)</f>
        <v>33600</v>
      </c>
      <c r="G16" s="403">
        <f>SUM(G4:G15)</f>
        <v>33600</v>
      </c>
      <c r="H16" s="403">
        <f>SUM(H4:H15)</f>
        <v>35800</v>
      </c>
      <c r="I16" s="403">
        <f>SUM(I4:I15)</f>
        <v>35800</v>
      </c>
      <c r="J16" s="403">
        <f>SUM(J4:J15)+26</f>
        <v>42699.850000000006</v>
      </c>
      <c r="K16" s="403">
        <f>SUM(K4:K15)</f>
        <v>42673.850000000006</v>
      </c>
      <c r="L16" s="403">
        <f>SUM(L4:L15)</f>
        <v>40947</v>
      </c>
      <c r="M16" s="403">
        <f>SUM(M4:M15)</f>
        <v>42994.35</v>
      </c>
      <c r="N16" s="403">
        <f>SUM(N4:N15)</f>
        <v>45246.434999999998</v>
      </c>
      <c r="O16" s="403">
        <f>SUM(O4:O15)</f>
        <v>45471.643499999998</v>
      </c>
      <c r="P16"/>
      <c r="Q16"/>
      <c r="R16"/>
      <c r="S16"/>
    </row>
    <row r="17" spans="1:19" ht="18.75" customHeight="1" x14ac:dyDescent="0.3">
      <c r="A17" s="18"/>
      <c r="B17" s="18"/>
      <c r="C17" s="1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8.75" customHeight="1" x14ac:dyDescent="0.25">
      <c r="A18" s="17"/>
      <c r="B18" s="15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8.75" customHeight="1" x14ac:dyDescent="0.2">
      <c r="A19" s="15"/>
      <c r="B19" s="15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8.75" customHeight="1" x14ac:dyDescent="0.2">
      <c r="A24"/>
      <c r="B24"/>
      <c r="C24"/>
      <c r="D24"/>
      <c r="E24"/>
      <c r="F24"/>
      <c r="G24"/>
      <c r="H24"/>
    </row>
    <row r="25" spans="1:19" ht="18.75" customHeight="1" x14ac:dyDescent="0.2">
      <c r="A25"/>
      <c r="B25"/>
      <c r="C25"/>
      <c r="D25"/>
      <c r="E25"/>
      <c r="F25"/>
      <c r="G25"/>
      <c r="H25"/>
    </row>
    <row r="26" spans="1:19" ht="18.75" customHeight="1" x14ac:dyDescent="0.2">
      <c r="A26"/>
      <c r="B26"/>
      <c r="C26"/>
      <c r="D26"/>
      <c r="E26"/>
      <c r="F26"/>
      <c r="G26"/>
      <c r="H26"/>
    </row>
    <row r="27" spans="1:19" ht="18.75" customHeight="1" x14ac:dyDescent="0.2">
      <c r="A27"/>
      <c r="B27"/>
      <c r="C27"/>
      <c r="D27"/>
      <c r="E27"/>
      <c r="F27"/>
      <c r="G27"/>
      <c r="H27"/>
    </row>
    <row r="28" spans="1:19" ht="18.75" customHeight="1" x14ac:dyDescent="0.2">
      <c r="A28"/>
      <c r="B28"/>
      <c r="C28"/>
      <c r="D28"/>
      <c r="E28"/>
      <c r="F28"/>
      <c r="G28"/>
      <c r="H28"/>
    </row>
    <row r="29" spans="1:19" ht="18.75" customHeight="1" x14ac:dyDescent="0.2">
      <c r="A29"/>
      <c r="B29"/>
      <c r="C29"/>
      <c r="D29"/>
      <c r="E29"/>
      <c r="F29"/>
      <c r="G29"/>
      <c r="H29"/>
    </row>
    <row r="30" spans="1:19" ht="18.75" customHeight="1" x14ac:dyDescent="0.2">
      <c r="A30"/>
      <c r="B30"/>
      <c r="C30"/>
      <c r="D30"/>
      <c r="E30"/>
      <c r="F30"/>
      <c r="G30"/>
      <c r="H30"/>
    </row>
    <row r="31" spans="1:19" ht="18.75" customHeight="1" x14ac:dyDescent="0.2">
      <c r="A31"/>
      <c r="B31"/>
      <c r="C31"/>
      <c r="D31"/>
      <c r="E31"/>
      <c r="F31"/>
      <c r="G31"/>
      <c r="H31"/>
    </row>
    <row r="32" spans="1:19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30"/>
  <sheetViews>
    <sheetView workbookViewId="0"/>
  </sheetViews>
  <sheetFormatPr defaultColWidth="9.140625" defaultRowHeight="18.75" customHeight="1" x14ac:dyDescent="0.2"/>
  <cols>
    <col min="1" max="1" width="33.42578125" style="9" bestFit="1" customWidth="1"/>
    <col min="2" max="2" width="11.7109375" style="10" hidden="1" customWidth="1"/>
    <col min="3" max="8" width="11.7109375" style="66" hidden="1" customWidth="1"/>
    <col min="9" max="9" width="0" style="66" hidden="1" customWidth="1"/>
    <col min="10" max="11" width="9.5703125" style="66" hidden="1" customWidth="1"/>
    <col min="12" max="12" width="8.5703125" style="66" hidden="1" customWidth="1"/>
    <col min="13" max="13" width="9.140625" style="66"/>
    <col min="14" max="15" width="9.5703125" style="66" bestFit="1" customWidth="1"/>
    <col min="16" max="16384" width="9.140625" style="66"/>
  </cols>
  <sheetData>
    <row r="1" spans="1:15" s="140" customFormat="1" ht="18.75" customHeight="1" x14ac:dyDescent="0.3">
      <c r="A1" s="167" t="s">
        <v>422</v>
      </c>
      <c r="B1" s="154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18.75" customHeight="1" x14ac:dyDescent="0.3">
      <c r="A2" s="31"/>
      <c r="B2" s="18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141" customFormat="1" ht="18.75" customHeight="1" x14ac:dyDescent="0.3">
      <c r="A4" s="68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15" s="140" customFormat="1" ht="18.75" customHeight="1" x14ac:dyDescent="0.3">
      <c r="A5" s="47" t="s">
        <v>181</v>
      </c>
      <c r="B5" s="32">
        <v>500</v>
      </c>
      <c r="C5" s="32">
        <v>1000</v>
      </c>
      <c r="D5" s="32">
        <v>1000</v>
      </c>
      <c r="E5" s="32">
        <v>500</v>
      </c>
      <c r="F5" s="401">
        <v>500</v>
      </c>
      <c r="G5" s="401">
        <v>0</v>
      </c>
      <c r="H5" s="401">
        <v>0</v>
      </c>
      <c r="I5" s="401">
        <v>700</v>
      </c>
      <c r="J5" s="401">
        <v>700</v>
      </c>
      <c r="K5" s="401">
        <v>700</v>
      </c>
      <c r="L5" s="401">
        <v>700</v>
      </c>
      <c r="M5" s="401">
        <v>700</v>
      </c>
      <c r="N5" s="401">
        <v>500</v>
      </c>
      <c r="O5" s="401">
        <v>500</v>
      </c>
    </row>
    <row r="6" spans="1:15" ht="18.75" customHeight="1" x14ac:dyDescent="0.3">
      <c r="A6" s="42" t="s">
        <v>488</v>
      </c>
      <c r="B6" s="32">
        <v>15500</v>
      </c>
      <c r="C6" s="32">
        <v>12000</v>
      </c>
      <c r="D6" s="32">
        <v>12000</v>
      </c>
      <c r="E6" s="32">
        <v>15000</v>
      </c>
      <c r="F6" s="401">
        <v>12000</v>
      </c>
      <c r="G6" s="401">
        <v>12000</v>
      </c>
      <c r="H6" s="401">
        <v>14000</v>
      </c>
      <c r="I6" s="401">
        <v>15000</v>
      </c>
      <c r="J6" s="401">
        <v>16000</v>
      </c>
      <c r="K6" s="401">
        <v>16000</v>
      </c>
      <c r="L6" s="401">
        <f>16000*1.03</f>
        <v>16480</v>
      </c>
      <c r="M6" s="401">
        <f>18000</f>
        <v>18000</v>
      </c>
      <c r="N6" s="401">
        <v>22000</v>
      </c>
      <c r="O6" s="401">
        <v>22000</v>
      </c>
    </row>
    <row r="7" spans="1:15" ht="18.75" hidden="1" customHeight="1" x14ac:dyDescent="0.3">
      <c r="A7" s="47" t="s">
        <v>182</v>
      </c>
      <c r="B7" s="32">
        <v>1000</v>
      </c>
      <c r="C7" s="32">
        <v>2000</v>
      </c>
      <c r="D7" s="32">
        <v>4000</v>
      </c>
      <c r="E7" s="32"/>
      <c r="F7" s="401">
        <v>0</v>
      </c>
      <c r="G7" s="401">
        <v>0</v>
      </c>
      <c r="H7" s="401">
        <v>0</v>
      </c>
      <c r="I7" s="401">
        <v>0</v>
      </c>
      <c r="J7" s="401">
        <v>0</v>
      </c>
      <c r="K7" s="401">
        <v>0</v>
      </c>
      <c r="L7" s="401">
        <v>0</v>
      </c>
      <c r="M7" s="401">
        <v>0</v>
      </c>
      <c r="N7" s="401">
        <v>0</v>
      </c>
      <c r="O7" s="401">
        <v>0</v>
      </c>
    </row>
    <row r="8" spans="1:15" ht="18.75" customHeight="1" x14ac:dyDescent="0.3">
      <c r="A8" s="47" t="s">
        <v>692</v>
      </c>
      <c r="B8" s="32">
        <v>10000</v>
      </c>
      <c r="C8" s="32">
        <v>10000</v>
      </c>
      <c r="D8" s="32">
        <v>10000</v>
      </c>
      <c r="E8" s="32">
        <v>9000</v>
      </c>
      <c r="F8" s="401">
        <v>8000</v>
      </c>
      <c r="G8" s="401">
        <v>8000</v>
      </c>
      <c r="H8" s="401">
        <v>8000</v>
      </c>
      <c r="I8" s="401">
        <v>8000</v>
      </c>
      <c r="J8" s="401">
        <v>8000</v>
      </c>
      <c r="K8" s="401">
        <v>8000</v>
      </c>
      <c r="L8" s="401">
        <v>8000</v>
      </c>
      <c r="M8" s="401">
        <v>10000</v>
      </c>
      <c r="N8" s="401">
        <v>15000</v>
      </c>
      <c r="O8" s="401">
        <v>15000</v>
      </c>
    </row>
    <row r="9" spans="1:15" ht="18.75" customHeight="1" x14ac:dyDescent="0.3">
      <c r="A9" s="47" t="s">
        <v>278</v>
      </c>
      <c r="B9" s="46">
        <v>20000</v>
      </c>
      <c r="C9" s="46">
        <v>16000</v>
      </c>
      <c r="D9" s="46">
        <f>1000*12</f>
        <v>12000</v>
      </c>
      <c r="E9" s="46">
        <f>1000*12</f>
        <v>12000</v>
      </c>
      <c r="F9" s="395">
        <f>1000*12</f>
        <v>12000</v>
      </c>
      <c r="G9" s="395">
        <f>1000*12</f>
        <v>12000</v>
      </c>
      <c r="H9" s="395">
        <f>1000*12</f>
        <v>12000</v>
      </c>
      <c r="I9" s="395">
        <f>1100*12</f>
        <v>13200</v>
      </c>
      <c r="J9" s="395">
        <f>1150*12</f>
        <v>13800</v>
      </c>
      <c r="K9" s="395">
        <f>1150*12</f>
        <v>13800</v>
      </c>
      <c r="L9" s="395">
        <f>1000*12</f>
        <v>12000</v>
      </c>
      <c r="M9" s="395">
        <f>1000*12</f>
        <v>12000</v>
      </c>
      <c r="N9" s="395">
        <f>(1000*12)*1.1</f>
        <v>13200.000000000002</v>
      </c>
      <c r="O9" s="395">
        <f>(1000*12)*1.1</f>
        <v>13200.000000000002</v>
      </c>
    </row>
    <row r="10" spans="1:15" ht="18.75" hidden="1" customHeight="1" x14ac:dyDescent="0.3">
      <c r="A10" s="47" t="s">
        <v>621</v>
      </c>
      <c r="B10" s="187"/>
      <c r="C10" s="46"/>
      <c r="D10" s="46"/>
      <c r="E10" s="46"/>
      <c r="F10" s="395"/>
      <c r="G10" s="395"/>
      <c r="H10" s="395"/>
      <c r="I10" s="395"/>
      <c r="J10" s="395">
        <v>150000</v>
      </c>
      <c r="K10" s="395"/>
      <c r="L10" s="395"/>
      <c r="M10" s="395"/>
      <c r="N10" s="395"/>
      <c r="O10" s="395"/>
    </row>
    <row r="11" spans="1:15" ht="18.75" hidden="1" customHeight="1" x14ac:dyDescent="0.3">
      <c r="A11" s="315" t="s">
        <v>627</v>
      </c>
      <c r="B11" s="187"/>
      <c r="C11" s="46"/>
      <c r="D11" s="46"/>
      <c r="E11" s="46"/>
      <c r="F11" s="395"/>
      <c r="G11" s="395"/>
      <c r="H11" s="395"/>
      <c r="I11" s="395"/>
      <c r="J11" s="395"/>
      <c r="K11" s="395">
        <v>500000</v>
      </c>
      <c r="L11" s="395">
        <v>0</v>
      </c>
      <c r="M11" s="395">
        <v>0</v>
      </c>
      <c r="N11" s="395">
        <v>0</v>
      </c>
      <c r="O11" s="395">
        <v>0</v>
      </c>
    </row>
    <row r="12" spans="1:15" ht="18.75" customHeight="1" x14ac:dyDescent="0.3">
      <c r="A12" s="315" t="s">
        <v>729</v>
      </c>
      <c r="B12" s="187"/>
      <c r="C12" s="46"/>
      <c r="D12" s="46"/>
      <c r="E12" s="46"/>
      <c r="F12" s="395"/>
      <c r="G12" s="395"/>
      <c r="H12" s="395"/>
      <c r="I12" s="395"/>
      <c r="J12" s="395"/>
      <c r="K12" s="395"/>
      <c r="L12" s="395">
        <v>0</v>
      </c>
      <c r="M12" s="395">
        <v>20000</v>
      </c>
      <c r="N12" s="395">
        <v>50000</v>
      </c>
      <c r="O12" s="395">
        <v>50000</v>
      </c>
    </row>
    <row r="13" spans="1:15" ht="18.75" customHeight="1" x14ac:dyDescent="0.3">
      <c r="A13" s="311"/>
      <c r="B13" s="46"/>
      <c r="C13" s="46"/>
      <c r="D13" s="46"/>
      <c r="E13" s="46"/>
      <c r="F13" s="395"/>
      <c r="G13" s="395"/>
      <c r="H13" s="395"/>
      <c r="I13" s="395"/>
      <c r="J13" s="395"/>
      <c r="K13" s="395"/>
      <c r="L13" s="395"/>
      <c r="M13" s="395"/>
      <c r="N13" s="395"/>
      <c r="O13" s="395"/>
    </row>
    <row r="14" spans="1:15" ht="18.75" customHeight="1" thickBot="1" x14ac:dyDescent="0.35">
      <c r="A14" s="311"/>
      <c r="B14" s="212">
        <v>-15000</v>
      </c>
      <c r="C14" s="212"/>
      <c r="D14" s="212"/>
      <c r="E14" s="212"/>
      <c r="F14" s="474"/>
      <c r="G14" s="474"/>
      <c r="H14" s="474"/>
      <c r="I14" s="474"/>
      <c r="J14" s="474"/>
      <c r="K14" s="474"/>
      <c r="L14" s="474"/>
      <c r="M14" s="474"/>
      <c r="N14" s="474"/>
      <c r="O14" s="474"/>
    </row>
    <row r="15" spans="1:15" ht="18.75" customHeight="1" thickTop="1" x14ac:dyDescent="0.3">
      <c r="A15" s="73" t="s">
        <v>95</v>
      </c>
      <c r="B15" s="189">
        <f t="shared" ref="B15:H15" si="0">SUM(B4:B14)</f>
        <v>32000</v>
      </c>
      <c r="C15" s="189">
        <f t="shared" si="0"/>
        <v>41000</v>
      </c>
      <c r="D15" s="189">
        <f t="shared" si="0"/>
        <v>39000</v>
      </c>
      <c r="E15" s="189">
        <f t="shared" si="0"/>
        <v>36500</v>
      </c>
      <c r="F15" s="478">
        <f t="shared" si="0"/>
        <v>32500</v>
      </c>
      <c r="G15" s="478">
        <f>SUM(G4:G14)</f>
        <v>32000</v>
      </c>
      <c r="H15" s="478">
        <f t="shared" si="0"/>
        <v>34000</v>
      </c>
      <c r="I15" s="478">
        <f t="shared" ref="I15:N15" si="1">SUM(I4:I14)</f>
        <v>36900</v>
      </c>
      <c r="J15" s="478">
        <f t="shared" si="1"/>
        <v>188500</v>
      </c>
      <c r="K15" s="478">
        <f t="shared" si="1"/>
        <v>538500</v>
      </c>
      <c r="L15" s="478">
        <f t="shared" si="1"/>
        <v>37180</v>
      </c>
      <c r="M15" s="478">
        <f t="shared" si="1"/>
        <v>60700</v>
      </c>
      <c r="N15" s="478">
        <f t="shared" si="1"/>
        <v>100700</v>
      </c>
      <c r="O15" s="478">
        <f t="shared" ref="O15" si="2">SUM(O4:O14)</f>
        <v>100700</v>
      </c>
    </row>
    <row r="16" spans="1:15" ht="18.75" customHeight="1" x14ac:dyDescent="0.3">
      <c r="A16" s="18"/>
      <c r="B16" s="18"/>
      <c r="C16" s="18"/>
      <c r="D16" s="18"/>
    </row>
    <row r="17" s="66" customFormat="1" ht="18.75" customHeight="1" x14ac:dyDescent="0.2"/>
    <row r="18" s="66" customFormat="1" ht="18.75" customHeight="1" x14ac:dyDescent="0.2"/>
    <row r="19" s="66" customFormat="1" ht="18.75" customHeight="1" x14ac:dyDescent="0.2"/>
    <row r="20" s="66" customFormat="1" ht="18.75" customHeight="1" x14ac:dyDescent="0.2"/>
    <row r="21" s="66" customFormat="1" ht="18.75" customHeight="1" x14ac:dyDescent="0.2"/>
    <row r="22" s="66" customFormat="1" ht="18.75" customHeight="1" x14ac:dyDescent="0.2"/>
    <row r="23" s="66" customFormat="1" ht="18.75" customHeight="1" x14ac:dyDescent="0.2"/>
    <row r="24" s="66" customFormat="1" ht="18.75" customHeight="1" x14ac:dyDescent="0.2"/>
    <row r="25" s="66" customFormat="1" ht="18.75" customHeight="1" x14ac:dyDescent="0.2"/>
    <row r="26" s="66" customFormat="1" ht="18.75" customHeight="1" x14ac:dyDescent="0.2"/>
    <row r="27" s="66" customFormat="1" ht="18.75" customHeight="1" x14ac:dyDescent="0.2"/>
    <row r="28" s="66" customFormat="1" ht="18.75" customHeight="1" x14ac:dyDescent="0.2"/>
    <row r="29" s="66" customFormat="1" ht="18.75" customHeight="1" x14ac:dyDescent="0.2"/>
    <row r="30" s="66" customFormat="1" ht="18.75" customHeight="1" x14ac:dyDescent="0.2"/>
  </sheetData>
  <sortState xmlns:xlrd2="http://schemas.microsoft.com/office/spreadsheetml/2017/richdata2" ref="A6:E10">
    <sortCondition ref="A5"/>
  </sortState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7.140625" style="9" customWidth="1"/>
    <col min="2" max="2" width="10.85546875" style="10" hidden="1" customWidth="1"/>
    <col min="3" max="8" width="10.85546875" style="66" hidden="1" customWidth="1"/>
    <col min="9" max="12" width="0" style="66" hidden="1" customWidth="1"/>
    <col min="13" max="16384" width="9.140625" style="66"/>
  </cols>
  <sheetData>
    <row r="1" spans="1:15" s="140" customFormat="1" ht="18.75" customHeight="1" x14ac:dyDescent="0.3">
      <c r="A1" s="167" t="s">
        <v>423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141" customFormat="1" ht="18.75" customHeight="1" x14ac:dyDescent="0.3">
      <c r="A4" s="84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s="141" customFormat="1" ht="18.75" customHeight="1" x14ac:dyDescent="0.3">
      <c r="A5" s="47"/>
      <c r="B5" s="32"/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</row>
    <row r="6" spans="1:15" s="141" customFormat="1" ht="18.75" customHeight="1" x14ac:dyDescent="0.3">
      <c r="A6" s="42" t="s">
        <v>641</v>
      </c>
      <c r="B6" s="32">
        <v>7500</v>
      </c>
      <c r="C6" s="32">
        <v>8000</v>
      </c>
      <c r="D6" s="32">
        <v>8000</v>
      </c>
      <c r="E6" s="32">
        <v>8000</v>
      </c>
      <c r="F6" s="401">
        <v>8600</v>
      </c>
      <c r="G6" s="401">
        <v>7500</v>
      </c>
      <c r="H6" s="401">
        <v>7800</v>
      </c>
      <c r="I6" s="401">
        <v>7800</v>
      </c>
      <c r="J6" s="401">
        <v>7800</v>
      </c>
      <c r="K6" s="401">
        <v>7800</v>
      </c>
      <c r="L6" s="401">
        <v>750</v>
      </c>
      <c r="M6" s="401">
        <v>800</v>
      </c>
      <c r="N6" s="401">
        <v>1000</v>
      </c>
      <c r="O6" s="401">
        <v>1000</v>
      </c>
    </row>
    <row r="7" spans="1:15" s="141" customFormat="1" ht="18.75" customHeight="1" x14ac:dyDescent="0.3">
      <c r="A7" s="47" t="s">
        <v>377</v>
      </c>
      <c r="B7" s="32">
        <v>100</v>
      </c>
      <c r="C7" s="32">
        <v>100</v>
      </c>
      <c r="D7" s="32">
        <v>125</v>
      </c>
      <c r="E7" s="32">
        <v>130</v>
      </c>
      <c r="F7" s="401">
        <v>150</v>
      </c>
      <c r="G7" s="401">
        <v>0</v>
      </c>
      <c r="H7" s="401">
        <v>0</v>
      </c>
      <c r="I7" s="401">
        <v>0</v>
      </c>
      <c r="J7" s="401">
        <v>0</v>
      </c>
      <c r="K7" s="401">
        <f>3*15</f>
        <v>45</v>
      </c>
      <c r="L7" s="401">
        <f>3*15</f>
        <v>45</v>
      </c>
      <c r="M7" s="401">
        <f>3*15</f>
        <v>45</v>
      </c>
      <c r="N7" s="401">
        <f>3*15</f>
        <v>45</v>
      </c>
      <c r="O7" s="401">
        <f>3*15</f>
        <v>45</v>
      </c>
    </row>
    <row r="8" spans="1:15" ht="18.75" hidden="1" customHeight="1" x14ac:dyDescent="0.3">
      <c r="A8" s="42" t="s">
        <v>544</v>
      </c>
      <c r="B8" s="32"/>
      <c r="C8" s="32"/>
      <c r="D8" s="32"/>
      <c r="E8" s="32"/>
      <c r="F8" s="401"/>
      <c r="G8" s="401"/>
      <c r="H8" s="401">
        <v>50000</v>
      </c>
      <c r="I8" s="401">
        <v>0</v>
      </c>
      <c r="J8" s="401"/>
      <c r="K8" s="401"/>
      <c r="L8" s="401"/>
      <c r="M8" s="401"/>
      <c r="N8" s="401"/>
      <c r="O8" s="401"/>
    </row>
    <row r="9" spans="1:15" ht="18.75" customHeight="1" x14ac:dyDescent="0.3">
      <c r="A9" s="43"/>
      <c r="B9" s="313"/>
      <c r="C9" s="187"/>
      <c r="D9" s="187"/>
      <c r="E9" s="187"/>
      <c r="F9" s="479"/>
      <c r="G9" s="479"/>
      <c r="H9" s="479"/>
      <c r="I9" s="479"/>
      <c r="J9" s="479"/>
      <c r="K9" s="479"/>
      <c r="L9" s="479"/>
      <c r="M9" s="479"/>
      <c r="N9" s="479"/>
      <c r="O9" s="479"/>
    </row>
    <row r="10" spans="1:15" ht="18.75" customHeight="1" x14ac:dyDescent="0.3">
      <c r="A10" s="43"/>
      <c r="B10" s="314"/>
      <c r="C10" s="312"/>
      <c r="D10" s="312"/>
      <c r="E10" s="312"/>
      <c r="F10" s="480"/>
      <c r="G10" s="480"/>
      <c r="H10" s="480"/>
      <c r="I10" s="480"/>
      <c r="J10" s="480"/>
      <c r="K10" s="480"/>
      <c r="L10" s="480"/>
      <c r="M10" s="480"/>
      <c r="N10" s="480"/>
      <c r="O10" s="480"/>
    </row>
    <row r="11" spans="1:15" ht="18.75" customHeight="1" x14ac:dyDescent="0.3">
      <c r="A11" s="43"/>
      <c r="B11" s="314"/>
      <c r="C11" s="312"/>
      <c r="D11" s="312"/>
      <c r="E11" s="312"/>
      <c r="F11" s="480"/>
      <c r="G11" s="480"/>
      <c r="H11" s="480"/>
      <c r="I11" s="480"/>
      <c r="J11" s="480"/>
      <c r="K11" s="480"/>
      <c r="L11" s="480"/>
      <c r="M11" s="480"/>
      <c r="N11" s="480"/>
      <c r="O11" s="480"/>
    </row>
    <row r="12" spans="1:15" ht="18.75" customHeight="1" thickBot="1" x14ac:dyDescent="0.35">
      <c r="A12" s="43"/>
      <c r="B12" s="77">
        <v>-7600</v>
      </c>
      <c r="C12" s="77"/>
      <c r="D12" s="77"/>
      <c r="E12" s="77"/>
      <c r="F12" s="464"/>
      <c r="G12" s="464"/>
      <c r="H12" s="464"/>
      <c r="I12" s="464"/>
      <c r="J12" s="464"/>
      <c r="K12" s="464"/>
      <c r="L12" s="464"/>
      <c r="M12" s="464"/>
      <c r="N12" s="464"/>
      <c r="O12" s="464"/>
    </row>
    <row r="13" spans="1:15" s="140" customFormat="1" ht="18.75" customHeight="1" thickTop="1" x14ac:dyDescent="0.3">
      <c r="A13" s="73" t="s">
        <v>95</v>
      </c>
      <c r="B13" s="34">
        <f t="shared" ref="B13:H13" si="0">SUM(B4:B12)</f>
        <v>0</v>
      </c>
      <c r="C13" s="34">
        <f t="shared" si="0"/>
        <v>8100</v>
      </c>
      <c r="D13" s="34">
        <f t="shared" si="0"/>
        <v>8125</v>
      </c>
      <c r="E13" s="34">
        <f t="shared" si="0"/>
        <v>8130</v>
      </c>
      <c r="F13" s="403">
        <f t="shared" si="0"/>
        <v>8750</v>
      </c>
      <c r="G13" s="403">
        <f>SUM(G4:G12)</f>
        <v>7500</v>
      </c>
      <c r="H13" s="403">
        <f t="shared" si="0"/>
        <v>57800</v>
      </c>
      <c r="I13" s="403">
        <f t="shared" ref="I13:N13" si="1">SUM(I4:I12)</f>
        <v>7800</v>
      </c>
      <c r="J13" s="403">
        <f t="shared" si="1"/>
        <v>7800</v>
      </c>
      <c r="K13" s="403">
        <f t="shared" si="1"/>
        <v>7845</v>
      </c>
      <c r="L13" s="403">
        <f t="shared" si="1"/>
        <v>795</v>
      </c>
      <c r="M13" s="403">
        <f t="shared" si="1"/>
        <v>845</v>
      </c>
      <c r="N13" s="403">
        <f t="shared" si="1"/>
        <v>1045</v>
      </c>
      <c r="O13" s="403">
        <f t="shared" ref="O13" si="2">SUM(O4:O12)</f>
        <v>1045</v>
      </c>
    </row>
    <row r="14" spans="1:15" ht="18.75" customHeight="1" x14ac:dyDescent="0.3">
      <c r="A14" s="67"/>
      <c r="B14" s="35"/>
      <c r="C14" s="18"/>
    </row>
    <row r="15" spans="1:15" ht="18.75" customHeight="1" x14ac:dyDescent="0.3">
      <c r="A15" s="67"/>
      <c r="B15" s="35"/>
      <c r="C1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14"/>
  <sheetViews>
    <sheetView zoomScaleNormal="100" workbookViewId="0"/>
  </sheetViews>
  <sheetFormatPr defaultColWidth="9.140625" defaultRowHeight="18.75" customHeight="1" x14ac:dyDescent="0.3"/>
  <cols>
    <col min="1" max="1" width="32.42578125" style="67" bestFit="1" customWidth="1"/>
    <col min="2" max="4" width="10.7109375" style="18" hidden="1" customWidth="1"/>
    <col min="5" max="8" width="11.28515625" style="18" hidden="1" customWidth="1"/>
    <col min="9" max="9" width="10" style="18" hidden="1" customWidth="1"/>
    <col min="10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424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6.5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36" customFormat="1" ht="16.5" x14ac:dyDescent="0.3">
      <c r="A4" s="42" t="s">
        <v>613</v>
      </c>
      <c r="B4" s="32">
        <v>1200</v>
      </c>
      <c r="C4" s="32">
        <v>2250</v>
      </c>
      <c r="D4" s="32">
        <f>230*12</f>
        <v>2760</v>
      </c>
      <c r="E4" s="32">
        <f>265*12</f>
        <v>3180</v>
      </c>
      <c r="F4" s="401">
        <f t="shared" ref="F4:M4" si="0">380*12</f>
        <v>4560</v>
      </c>
      <c r="G4" s="401">
        <f t="shared" si="0"/>
        <v>4560</v>
      </c>
      <c r="H4" s="401">
        <f t="shared" si="0"/>
        <v>4560</v>
      </c>
      <c r="I4" s="401">
        <f t="shared" si="0"/>
        <v>4560</v>
      </c>
      <c r="J4" s="401">
        <f t="shared" si="0"/>
        <v>4560</v>
      </c>
      <c r="K4" s="401">
        <f t="shared" si="0"/>
        <v>4560</v>
      </c>
      <c r="L4" s="401">
        <f t="shared" si="0"/>
        <v>4560</v>
      </c>
      <c r="M4" s="401">
        <f t="shared" si="0"/>
        <v>4560</v>
      </c>
      <c r="N4" s="401">
        <f>400*12</f>
        <v>4800</v>
      </c>
      <c r="O4" s="401">
        <f>400*12</f>
        <v>4800</v>
      </c>
    </row>
    <row r="5" spans="1:15" s="36" customFormat="1" ht="18.75" customHeight="1" x14ac:dyDescent="0.3">
      <c r="A5" s="42" t="s">
        <v>752</v>
      </c>
      <c r="B5" s="32">
        <v>4200</v>
      </c>
      <c r="C5" s="32">
        <v>3000</v>
      </c>
      <c r="D5" s="32">
        <f>250*12</f>
        <v>3000</v>
      </c>
      <c r="E5" s="32">
        <f>230*12</f>
        <v>2760</v>
      </c>
      <c r="F5" s="401">
        <f>200*12</f>
        <v>2400</v>
      </c>
      <c r="G5" s="401">
        <f>200*12</f>
        <v>2400</v>
      </c>
      <c r="H5" s="401">
        <f>300*12</f>
        <v>3600</v>
      </c>
      <c r="I5" s="401">
        <f>(250*12)+(800*3)</f>
        <v>5400</v>
      </c>
      <c r="J5" s="401">
        <f>(250*12)</f>
        <v>3000</v>
      </c>
      <c r="K5" s="401">
        <f>(250*12)</f>
        <v>3000</v>
      </c>
      <c r="L5" s="401">
        <f>(400*12)</f>
        <v>4800</v>
      </c>
      <c r="M5" s="401">
        <f>(500*12)</f>
        <v>6000</v>
      </c>
      <c r="N5" s="401">
        <f>(600*14)</f>
        <v>8400</v>
      </c>
      <c r="O5" s="401">
        <f>(700*12)</f>
        <v>8400</v>
      </c>
    </row>
    <row r="6" spans="1:15" ht="18.75" hidden="1" customHeight="1" x14ac:dyDescent="0.3">
      <c r="A6" s="42" t="s">
        <v>265</v>
      </c>
      <c r="B6" s="32">
        <v>400</v>
      </c>
      <c r="C6" s="32">
        <v>200</v>
      </c>
      <c r="D6" s="32">
        <v>200</v>
      </c>
      <c r="E6" s="32">
        <v>200</v>
      </c>
      <c r="F6" s="401">
        <v>100</v>
      </c>
      <c r="G6" s="401"/>
      <c r="H6" s="401"/>
      <c r="I6" s="401"/>
      <c r="J6" s="401"/>
      <c r="K6" s="401"/>
      <c r="L6" s="401"/>
      <c r="M6" s="401"/>
      <c r="N6" s="401"/>
      <c r="O6" s="401"/>
    </row>
    <row r="7" spans="1:15" s="36" customFormat="1" ht="18.75" hidden="1" customHeight="1" x14ac:dyDescent="0.3">
      <c r="A7" s="42" t="s">
        <v>453</v>
      </c>
      <c r="B7" s="32">
        <v>4200</v>
      </c>
      <c r="C7" s="32">
        <v>4080</v>
      </c>
      <c r="D7" s="32">
        <f>45*8*12</f>
        <v>4320</v>
      </c>
      <c r="E7" s="32">
        <f>45*8*12</f>
        <v>4320</v>
      </c>
      <c r="F7" s="401">
        <f>(15*189)+(15*189)+(5*189)</f>
        <v>6615</v>
      </c>
      <c r="G7" s="401"/>
      <c r="H7" s="401"/>
      <c r="I7" s="401"/>
      <c r="J7" s="401"/>
      <c r="K7" s="401"/>
      <c r="L7" s="401"/>
      <c r="M7" s="401"/>
      <c r="N7" s="401"/>
      <c r="O7" s="401"/>
    </row>
    <row r="8" spans="1:15" ht="18.75" customHeight="1" x14ac:dyDescent="0.3">
      <c r="A8" s="47" t="s">
        <v>454</v>
      </c>
      <c r="B8" s="46"/>
      <c r="C8" s="46"/>
      <c r="D8" s="46"/>
      <c r="E8" s="46"/>
      <c r="F8" s="395">
        <f>(10*2*12)+(100000*0.01)</f>
        <v>1240</v>
      </c>
      <c r="G8" s="395">
        <f>(10*2*12)+(100000*0.01)</f>
        <v>1240</v>
      </c>
      <c r="H8" s="395">
        <f t="shared" ref="H8:L8" si="1">(10*3*12)+(100000*0.01)</f>
        <v>1360</v>
      </c>
      <c r="I8" s="395">
        <f t="shared" si="1"/>
        <v>1360</v>
      </c>
      <c r="J8" s="395">
        <f t="shared" si="1"/>
        <v>1360</v>
      </c>
      <c r="K8" s="395">
        <f t="shared" si="1"/>
        <v>1360</v>
      </c>
      <c r="L8" s="395">
        <f t="shared" si="1"/>
        <v>1360</v>
      </c>
      <c r="M8" s="395">
        <f>(12*3*12)+(100000*0.01)</f>
        <v>1432</v>
      </c>
      <c r="N8" s="395">
        <f>(12*5*12)+(100000*0.01)</f>
        <v>1720</v>
      </c>
      <c r="O8" s="395">
        <f>(12*5*12)+(100000*0.01)</f>
        <v>1720</v>
      </c>
    </row>
    <row r="9" spans="1:15" ht="18.75" customHeight="1" x14ac:dyDescent="0.3">
      <c r="A9" s="47"/>
      <c r="B9" s="46"/>
      <c r="C9" s="46"/>
      <c r="D9" s="46"/>
      <c r="E9" s="46"/>
      <c r="F9" s="395"/>
      <c r="G9" s="395"/>
      <c r="H9" s="395"/>
      <c r="I9" s="395"/>
      <c r="J9" s="395"/>
      <c r="K9" s="395"/>
      <c r="L9" s="395"/>
      <c r="M9" s="395"/>
      <c r="N9" s="395"/>
      <c r="O9" s="395"/>
    </row>
    <row r="10" spans="1:15" ht="18.75" customHeight="1" x14ac:dyDescent="0.3">
      <c r="A10" s="68"/>
      <c r="B10" s="46"/>
      <c r="C10" s="46"/>
      <c r="D10" s="46"/>
      <c r="E10" s="46"/>
      <c r="F10" s="395"/>
      <c r="G10" s="395"/>
      <c r="H10" s="395"/>
      <c r="I10" s="395"/>
      <c r="J10" s="395"/>
      <c r="K10" s="395"/>
      <c r="L10" s="395"/>
      <c r="M10" s="395"/>
      <c r="N10" s="395"/>
      <c r="O10" s="395"/>
    </row>
    <row r="11" spans="1:15" ht="18.75" customHeight="1" x14ac:dyDescent="0.3">
      <c r="A11" s="47"/>
      <c r="B11" s="46">
        <v>300</v>
      </c>
      <c r="C11" s="46"/>
      <c r="D11" s="46"/>
      <c r="E11" s="46"/>
      <c r="F11" s="395"/>
      <c r="G11" s="395"/>
      <c r="H11" s="395"/>
      <c r="I11" s="395"/>
      <c r="J11" s="395"/>
      <c r="K11" s="395"/>
      <c r="L11" s="395"/>
      <c r="M11" s="395"/>
      <c r="N11" s="395"/>
      <c r="O11" s="395"/>
    </row>
    <row r="12" spans="1:15" ht="18.75" customHeight="1" x14ac:dyDescent="0.3">
      <c r="A12" s="73" t="s">
        <v>95</v>
      </c>
      <c r="B12" s="88">
        <f t="shared" ref="B12:H12" si="2">SUM(B4:B11)</f>
        <v>10300</v>
      </c>
      <c r="C12" s="88">
        <f t="shared" si="2"/>
        <v>9530</v>
      </c>
      <c r="D12" s="88">
        <f t="shared" si="2"/>
        <v>10280</v>
      </c>
      <c r="E12" s="88">
        <f t="shared" si="2"/>
        <v>10460</v>
      </c>
      <c r="F12" s="481">
        <f t="shared" si="2"/>
        <v>14915</v>
      </c>
      <c r="G12" s="481">
        <f>SUM(G4:G11)</f>
        <v>8200</v>
      </c>
      <c r="H12" s="481">
        <f t="shared" si="2"/>
        <v>9520</v>
      </c>
      <c r="I12" s="481">
        <f t="shared" ref="I12:N12" si="3">SUM(I4:I11)</f>
        <v>11320</v>
      </c>
      <c r="J12" s="481">
        <f t="shared" si="3"/>
        <v>8920</v>
      </c>
      <c r="K12" s="481">
        <f t="shared" si="3"/>
        <v>8920</v>
      </c>
      <c r="L12" s="481">
        <f t="shared" si="3"/>
        <v>10720</v>
      </c>
      <c r="M12" s="481">
        <f t="shared" si="3"/>
        <v>11992</v>
      </c>
      <c r="N12" s="481">
        <f t="shared" si="3"/>
        <v>14920</v>
      </c>
      <c r="O12" s="481">
        <f t="shared" ref="O12" si="4">SUM(O4:O11)</f>
        <v>14920</v>
      </c>
    </row>
    <row r="14" spans="1:15" ht="18.75" customHeight="1" x14ac:dyDescent="0.3">
      <c r="A14" s="11"/>
    </row>
  </sheetData>
  <sortState xmlns:xlrd2="http://schemas.microsoft.com/office/spreadsheetml/2017/richdata2" ref="A5:E7">
    <sortCondition ref="A5:A7"/>
  </sortState>
  <phoneticPr fontId="21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25"/>
  <sheetViews>
    <sheetView zoomScaleNormal="100" workbookViewId="0"/>
  </sheetViews>
  <sheetFormatPr defaultColWidth="9.140625" defaultRowHeight="18.75" customHeight="1" x14ac:dyDescent="0.2"/>
  <cols>
    <col min="1" max="1" width="36.42578125" style="9" bestFit="1" customWidth="1"/>
    <col min="2" max="2" width="12.28515625" style="10" hidden="1" customWidth="1"/>
    <col min="3" max="8" width="12.28515625" style="66" hidden="1" customWidth="1"/>
    <col min="9" max="12" width="0" style="66" hidden="1" customWidth="1"/>
    <col min="13" max="16384" width="9.140625" style="66"/>
  </cols>
  <sheetData>
    <row r="1" spans="1:15" s="140" customFormat="1" ht="18.75" customHeight="1" x14ac:dyDescent="0.3">
      <c r="A1" s="167" t="s">
        <v>425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140" customFormat="1" ht="18.75" customHeight="1" x14ac:dyDescent="0.3">
      <c r="A4" s="42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s="140" customFormat="1" ht="18.75" customHeight="1" x14ac:dyDescent="0.3">
      <c r="A5" s="42" t="s">
        <v>331</v>
      </c>
      <c r="B5" s="32">
        <v>15000</v>
      </c>
      <c r="C5" s="32">
        <v>18720</v>
      </c>
      <c r="D5" s="32">
        <v>18720</v>
      </c>
      <c r="E5" s="32">
        <f>1200*12</f>
        <v>14400</v>
      </c>
      <c r="F5" s="401">
        <f t="shared" ref="F5:K5" si="0">1000*12</f>
        <v>12000</v>
      </c>
      <c r="G5" s="401">
        <f t="shared" si="0"/>
        <v>12000</v>
      </c>
      <c r="H5" s="401">
        <f t="shared" si="0"/>
        <v>12000</v>
      </c>
      <c r="I5" s="401">
        <f t="shared" si="0"/>
        <v>12000</v>
      </c>
      <c r="J5" s="401">
        <f t="shared" si="0"/>
        <v>12000</v>
      </c>
      <c r="K5" s="401">
        <f t="shared" si="0"/>
        <v>12000</v>
      </c>
      <c r="L5" s="401">
        <f>800*12</f>
        <v>9600</v>
      </c>
      <c r="M5" s="401">
        <f>800*12</f>
        <v>9600</v>
      </c>
      <c r="N5" s="401">
        <f>800*12*1.25</f>
        <v>12000</v>
      </c>
      <c r="O5" s="401">
        <f>800*12*1.3</f>
        <v>12480</v>
      </c>
    </row>
    <row r="6" spans="1:15" s="140" customFormat="1" ht="18.75" customHeight="1" x14ac:dyDescent="0.3">
      <c r="A6" s="42" t="s">
        <v>334</v>
      </c>
      <c r="B6" s="32">
        <v>15000</v>
      </c>
      <c r="C6" s="32">
        <v>15600</v>
      </c>
      <c r="D6" s="32">
        <v>15600</v>
      </c>
      <c r="E6" s="32">
        <f>1300*12</f>
        <v>15600</v>
      </c>
      <c r="F6" s="401">
        <f t="shared" ref="F6:K6" si="1">1200*12</f>
        <v>14400</v>
      </c>
      <c r="G6" s="401">
        <f t="shared" si="1"/>
        <v>14400</v>
      </c>
      <c r="H6" s="401">
        <f t="shared" si="1"/>
        <v>14400</v>
      </c>
      <c r="I6" s="401">
        <f t="shared" si="1"/>
        <v>14400</v>
      </c>
      <c r="J6" s="401">
        <f t="shared" si="1"/>
        <v>14400</v>
      </c>
      <c r="K6" s="401">
        <f t="shared" si="1"/>
        <v>14400</v>
      </c>
      <c r="L6" s="401">
        <f>1000*12</f>
        <v>12000</v>
      </c>
      <c r="M6" s="401">
        <f>1000*12</f>
        <v>12000</v>
      </c>
      <c r="N6" s="401">
        <f>1000*12*1.25</f>
        <v>15000</v>
      </c>
      <c r="O6" s="401">
        <f>1000*12*1.3</f>
        <v>15600</v>
      </c>
    </row>
    <row r="7" spans="1:15" s="140" customFormat="1" ht="18.75" customHeight="1" x14ac:dyDescent="0.3">
      <c r="A7" s="42" t="s">
        <v>430</v>
      </c>
      <c r="B7" s="32">
        <v>1500</v>
      </c>
      <c r="C7" s="32">
        <v>1920</v>
      </c>
      <c r="D7" s="32">
        <v>1940</v>
      </c>
      <c r="E7" s="32">
        <f>200*12</f>
        <v>2400</v>
      </c>
      <c r="F7" s="401">
        <f t="shared" ref="F7:K7" si="2">180*12</f>
        <v>2160</v>
      </c>
      <c r="G7" s="401">
        <f t="shared" si="2"/>
        <v>2160</v>
      </c>
      <c r="H7" s="401">
        <f t="shared" si="2"/>
        <v>2160</v>
      </c>
      <c r="I7" s="401">
        <f t="shared" si="2"/>
        <v>2160</v>
      </c>
      <c r="J7" s="401">
        <f t="shared" si="2"/>
        <v>2160</v>
      </c>
      <c r="K7" s="401">
        <f t="shared" si="2"/>
        <v>2160</v>
      </c>
      <c r="L7" s="401">
        <f>150*12</f>
        <v>1800</v>
      </c>
      <c r="M7" s="401">
        <f>150*12</f>
        <v>1800</v>
      </c>
      <c r="N7" s="401">
        <f>150*12*1.25</f>
        <v>2250</v>
      </c>
      <c r="O7" s="401">
        <f>150*12*1.3</f>
        <v>2340</v>
      </c>
    </row>
    <row r="8" spans="1:15" s="140" customFormat="1" ht="18.75" customHeight="1" x14ac:dyDescent="0.3">
      <c r="A8" s="42" t="s">
        <v>566</v>
      </c>
      <c r="B8" s="46">
        <v>4000</v>
      </c>
      <c r="C8" s="46">
        <v>5600</v>
      </c>
      <c r="D8" s="46">
        <v>5600</v>
      </c>
      <c r="E8" s="46">
        <f>600*12</f>
        <v>7200</v>
      </c>
      <c r="F8" s="395">
        <f t="shared" ref="F8:K8" si="3">400*12</f>
        <v>4800</v>
      </c>
      <c r="G8" s="395">
        <f t="shared" si="3"/>
        <v>4800</v>
      </c>
      <c r="H8" s="395">
        <f t="shared" si="3"/>
        <v>4800</v>
      </c>
      <c r="I8" s="395">
        <f t="shared" si="3"/>
        <v>4800</v>
      </c>
      <c r="J8" s="395">
        <f t="shared" si="3"/>
        <v>4800</v>
      </c>
      <c r="K8" s="395">
        <f t="shared" si="3"/>
        <v>4800</v>
      </c>
      <c r="L8" s="395">
        <f>350*12</f>
        <v>4200</v>
      </c>
      <c r="M8" s="395">
        <f>350*12</f>
        <v>4200</v>
      </c>
      <c r="N8" s="395">
        <f>350*12*1.25</f>
        <v>5250</v>
      </c>
      <c r="O8" s="395">
        <f>350*12*1.3</f>
        <v>5460</v>
      </c>
    </row>
    <row r="9" spans="1:15" ht="18.75" customHeight="1" x14ac:dyDescent="0.3">
      <c r="A9" s="47" t="s">
        <v>455</v>
      </c>
      <c r="B9" s="46">
        <v>5700</v>
      </c>
      <c r="C9" s="46">
        <v>6600</v>
      </c>
      <c r="D9" s="46">
        <v>6600</v>
      </c>
      <c r="E9" s="46">
        <f>(261*12)+(301*12)</f>
        <v>6744</v>
      </c>
      <c r="F9" s="395">
        <f t="shared" ref="F9:M9" si="4">((8.29+28.92+31.99+4.39+20)*12)+((8.29+28.92+30+31.99+4.39+10.79+20)*12)</f>
        <v>2735.64</v>
      </c>
      <c r="G9" s="395">
        <f t="shared" si="4"/>
        <v>2735.64</v>
      </c>
      <c r="H9" s="395">
        <f t="shared" si="4"/>
        <v>2735.64</v>
      </c>
      <c r="I9" s="395">
        <f t="shared" si="4"/>
        <v>2735.64</v>
      </c>
      <c r="J9" s="395">
        <f t="shared" si="4"/>
        <v>2735.64</v>
      </c>
      <c r="K9" s="395">
        <f t="shared" si="4"/>
        <v>2735.64</v>
      </c>
      <c r="L9" s="395">
        <f t="shared" si="4"/>
        <v>2735.64</v>
      </c>
      <c r="M9" s="395">
        <f t="shared" si="4"/>
        <v>2735.64</v>
      </c>
      <c r="N9" s="395">
        <f>((8.29+28.92+31.99+4.39+20)*12)+((8.29+28.92+30+31.99+4.39+10.79+20)*12)*1.25</f>
        <v>3138.7799999999997</v>
      </c>
      <c r="O9" s="395">
        <f>((8.29+28.92+31.99+4.39+20)*12)+((8.29+28.92+30+31.99+4.39+10.79+20)*12)*1.35</f>
        <v>3300.0360000000001</v>
      </c>
    </row>
    <row r="10" spans="1:15" ht="18.75" customHeight="1" x14ac:dyDescent="0.3">
      <c r="A10" s="42" t="s">
        <v>343</v>
      </c>
      <c r="B10" s="32">
        <v>3000</v>
      </c>
      <c r="C10" s="32">
        <v>2670</v>
      </c>
      <c r="D10" s="32">
        <v>2670</v>
      </c>
      <c r="E10" s="32">
        <f>250*12</f>
        <v>3000</v>
      </c>
      <c r="F10" s="401">
        <f t="shared" ref="F10:K10" si="5">320*12</f>
        <v>3840</v>
      </c>
      <c r="G10" s="401">
        <f t="shared" si="5"/>
        <v>3840</v>
      </c>
      <c r="H10" s="401">
        <f t="shared" si="5"/>
        <v>3840</v>
      </c>
      <c r="I10" s="401">
        <f t="shared" si="5"/>
        <v>3840</v>
      </c>
      <c r="J10" s="401">
        <f t="shared" si="5"/>
        <v>3840</v>
      </c>
      <c r="K10" s="401">
        <f t="shared" si="5"/>
        <v>3840</v>
      </c>
      <c r="L10" s="401">
        <f>300*12</f>
        <v>3600</v>
      </c>
      <c r="M10" s="401">
        <f>300*12</f>
        <v>3600</v>
      </c>
      <c r="N10" s="401">
        <f>300*12*1.25</f>
        <v>4500</v>
      </c>
      <c r="O10" s="401">
        <f>300*12*1.3</f>
        <v>4680</v>
      </c>
    </row>
    <row r="11" spans="1:15" ht="18.75" customHeight="1" x14ac:dyDescent="0.3">
      <c r="A11" s="42" t="s">
        <v>344</v>
      </c>
      <c r="B11" s="32"/>
      <c r="C11" s="32">
        <v>2370</v>
      </c>
      <c r="D11" s="32">
        <v>2370</v>
      </c>
      <c r="E11" s="32">
        <f>240*12</f>
        <v>2880</v>
      </c>
      <c r="F11" s="401">
        <f t="shared" ref="F11:K11" si="6">220*12</f>
        <v>2640</v>
      </c>
      <c r="G11" s="401">
        <f t="shared" si="6"/>
        <v>2640</v>
      </c>
      <c r="H11" s="401">
        <f t="shared" si="6"/>
        <v>2640</v>
      </c>
      <c r="I11" s="401">
        <f t="shared" si="6"/>
        <v>2640</v>
      </c>
      <c r="J11" s="401">
        <f t="shared" si="6"/>
        <v>2640</v>
      </c>
      <c r="K11" s="401">
        <f t="shared" si="6"/>
        <v>2640</v>
      </c>
      <c r="L11" s="401">
        <f>200*12</f>
        <v>2400</v>
      </c>
      <c r="M11" s="401">
        <f>200*12</f>
        <v>2400</v>
      </c>
      <c r="N11" s="401">
        <f>200*12*1.25</f>
        <v>3000</v>
      </c>
      <c r="O11" s="401">
        <f>200*12*1.3</f>
        <v>3120</v>
      </c>
    </row>
    <row r="12" spans="1:15" ht="18.75" customHeight="1" x14ac:dyDescent="0.3">
      <c r="A12" s="42" t="s">
        <v>332</v>
      </c>
      <c r="B12" s="32">
        <v>8400</v>
      </c>
      <c r="C12" s="32">
        <v>8100</v>
      </c>
      <c r="D12" s="32">
        <v>8100</v>
      </c>
      <c r="E12" s="32">
        <f t="shared" ref="E12:K12" si="7">675*12</f>
        <v>8100</v>
      </c>
      <c r="F12" s="401">
        <f t="shared" si="7"/>
        <v>8100</v>
      </c>
      <c r="G12" s="401">
        <f t="shared" si="7"/>
        <v>8100</v>
      </c>
      <c r="H12" s="401">
        <f t="shared" si="7"/>
        <v>8100</v>
      </c>
      <c r="I12" s="401">
        <f t="shared" si="7"/>
        <v>8100</v>
      </c>
      <c r="J12" s="401">
        <f t="shared" si="7"/>
        <v>8100</v>
      </c>
      <c r="K12" s="401">
        <f t="shared" si="7"/>
        <v>8100</v>
      </c>
      <c r="L12" s="401">
        <f>600*12</f>
        <v>7200</v>
      </c>
      <c r="M12" s="401">
        <f>600*12</f>
        <v>7200</v>
      </c>
      <c r="N12" s="401">
        <f>600*12*1.25</f>
        <v>9000</v>
      </c>
      <c r="O12" s="401">
        <f>600*12*1.3</f>
        <v>9360</v>
      </c>
    </row>
    <row r="13" spans="1:15" ht="18.75" customHeight="1" x14ac:dyDescent="0.3">
      <c r="A13" s="42" t="s">
        <v>333</v>
      </c>
      <c r="B13" s="32">
        <v>8800</v>
      </c>
      <c r="C13" s="32">
        <v>12000</v>
      </c>
      <c r="D13" s="32">
        <v>10000</v>
      </c>
      <c r="E13" s="32">
        <f>1200*12</f>
        <v>14400</v>
      </c>
      <c r="F13" s="401">
        <f t="shared" ref="F13:K13" si="8">1400*12</f>
        <v>16800</v>
      </c>
      <c r="G13" s="401">
        <f t="shared" si="8"/>
        <v>16800</v>
      </c>
      <c r="H13" s="401">
        <f t="shared" si="8"/>
        <v>16800</v>
      </c>
      <c r="I13" s="401">
        <f t="shared" si="8"/>
        <v>16800</v>
      </c>
      <c r="J13" s="401">
        <f t="shared" si="8"/>
        <v>16800</v>
      </c>
      <c r="K13" s="401">
        <f t="shared" si="8"/>
        <v>16800</v>
      </c>
      <c r="L13" s="401">
        <f>1000*12</f>
        <v>12000</v>
      </c>
      <c r="M13" s="401">
        <f>1000*12</f>
        <v>12000</v>
      </c>
      <c r="N13" s="401">
        <f>1000*12*1.25</f>
        <v>15000</v>
      </c>
      <c r="O13" s="401">
        <f>1000*12*1.3</f>
        <v>15600</v>
      </c>
    </row>
    <row r="14" spans="1:15" ht="18.75" customHeight="1" x14ac:dyDescent="0.3">
      <c r="A14" s="315" t="s">
        <v>456</v>
      </c>
      <c r="B14" s="77"/>
      <c r="C14" s="77"/>
      <c r="D14" s="77"/>
      <c r="E14" s="77"/>
      <c r="F14" s="464">
        <f>(399*12)+((49*2)*12)</f>
        <v>5964</v>
      </c>
      <c r="G14" s="464">
        <f>(399*12)+((49*2)*12)</f>
        <v>5964</v>
      </c>
      <c r="H14" s="464">
        <f t="shared" ref="H14:M14" si="9">(499*12)+((49*2)*12)</f>
        <v>7164</v>
      </c>
      <c r="I14" s="464">
        <f t="shared" si="9"/>
        <v>7164</v>
      </c>
      <c r="J14" s="464">
        <f t="shared" si="9"/>
        <v>7164</v>
      </c>
      <c r="K14" s="464">
        <f t="shared" si="9"/>
        <v>7164</v>
      </c>
      <c r="L14" s="464">
        <f t="shared" si="9"/>
        <v>7164</v>
      </c>
      <c r="M14" s="464">
        <f t="shared" si="9"/>
        <v>7164</v>
      </c>
      <c r="N14" s="464">
        <f>(525*12)+((55*2)*12)*1.25</f>
        <v>7950</v>
      </c>
      <c r="O14" s="464">
        <f>(525*12)+((55*2)*12)*1.3</f>
        <v>8016</v>
      </c>
    </row>
    <row r="15" spans="1:15" ht="18.75" customHeight="1" x14ac:dyDescent="0.3">
      <c r="A15" s="315"/>
      <c r="B15" s="77"/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</row>
    <row r="16" spans="1:15" ht="18.75" customHeight="1" thickBot="1" x14ac:dyDescent="0.35">
      <c r="A16" s="50"/>
      <c r="B16" s="155">
        <v>3000</v>
      </c>
      <c r="C16" s="155"/>
      <c r="D16" s="155"/>
      <c r="E16" s="155"/>
      <c r="F16" s="474"/>
      <c r="G16" s="474"/>
      <c r="H16" s="474"/>
      <c r="I16" s="474"/>
      <c r="J16" s="474"/>
      <c r="K16" s="474"/>
      <c r="L16" s="474"/>
      <c r="M16" s="474"/>
      <c r="N16" s="474"/>
      <c r="O16" s="474"/>
    </row>
    <row r="17" spans="1:15" s="140" customFormat="1" ht="18.75" customHeight="1" thickTop="1" x14ac:dyDescent="0.3">
      <c r="A17" s="73" t="s">
        <v>95</v>
      </c>
      <c r="B17" s="34">
        <f t="shared" ref="B17:H17" si="10">SUM(B4:B16)</f>
        <v>64400</v>
      </c>
      <c r="C17" s="34">
        <f t="shared" si="10"/>
        <v>73580</v>
      </c>
      <c r="D17" s="34">
        <f t="shared" si="10"/>
        <v>71600</v>
      </c>
      <c r="E17" s="34">
        <f t="shared" si="10"/>
        <v>74724</v>
      </c>
      <c r="F17" s="403">
        <f t="shared" si="10"/>
        <v>73439.64</v>
      </c>
      <c r="G17" s="403">
        <f>SUM(G4:G16)</f>
        <v>73439.64</v>
      </c>
      <c r="H17" s="403">
        <f t="shared" si="10"/>
        <v>74639.64</v>
      </c>
      <c r="I17" s="403">
        <f t="shared" ref="I17:N17" si="11">SUM(I4:I16)</f>
        <v>74639.64</v>
      </c>
      <c r="J17" s="403">
        <f t="shared" si="11"/>
        <v>74639.64</v>
      </c>
      <c r="K17" s="403">
        <f t="shared" si="11"/>
        <v>74639.64</v>
      </c>
      <c r="L17" s="403">
        <f t="shared" si="11"/>
        <v>62699.64</v>
      </c>
      <c r="M17" s="403">
        <f t="shared" si="11"/>
        <v>62699.64</v>
      </c>
      <c r="N17" s="403">
        <f t="shared" si="11"/>
        <v>77088.78</v>
      </c>
      <c r="O17" s="403">
        <f t="shared" ref="O17" si="12">SUM(O4:O16)</f>
        <v>79956.035999999993</v>
      </c>
    </row>
    <row r="18" spans="1:15" ht="18.75" customHeight="1" x14ac:dyDescent="0.3">
      <c r="A18" s="11"/>
      <c r="B18" s="35"/>
      <c r="C18" s="18"/>
    </row>
    <row r="19" spans="1:15" ht="18.75" customHeight="1" x14ac:dyDescent="0.2">
      <c r="A19" s="183"/>
    </row>
    <row r="20" spans="1:15" ht="18.75" customHeight="1" x14ac:dyDescent="0.2">
      <c r="A20" s="151"/>
    </row>
    <row r="21" spans="1:15" ht="18.75" customHeight="1" x14ac:dyDescent="0.2">
      <c r="A21" s="151"/>
    </row>
    <row r="22" spans="1:15" ht="18.75" customHeight="1" x14ac:dyDescent="0.2">
      <c r="A22" s="151"/>
    </row>
    <row r="23" spans="1:15" ht="18.75" customHeight="1" x14ac:dyDescent="0.2">
      <c r="A23" s="151"/>
    </row>
    <row r="24" spans="1:15" ht="18.75" customHeight="1" x14ac:dyDescent="0.2">
      <c r="A24" s="151"/>
    </row>
    <row r="25" spans="1:15" ht="18.75" customHeight="1" x14ac:dyDescent="0.2">
      <c r="A25" s="151"/>
    </row>
  </sheetData>
  <sortState xmlns:xlrd2="http://schemas.microsoft.com/office/spreadsheetml/2017/richdata2" ref="A5:E12">
    <sortCondition ref="A5"/>
  </sortState>
  <phoneticPr fontId="21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21"/>
  <sheetViews>
    <sheetView workbookViewId="0"/>
  </sheetViews>
  <sheetFormatPr defaultColWidth="9.140625" defaultRowHeight="18.75" customHeight="1" x14ac:dyDescent="0.3"/>
  <cols>
    <col min="1" max="1" width="31" style="67" bestFit="1" customWidth="1"/>
    <col min="2" max="2" width="12.42578125" style="35" hidden="1" customWidth="1"/>
    <col min="3" max="4" width="12.42578125" style="18" hidden="1" customWidth="1"/>
    <col min="5" max="8" width="11.7109375" style="18" hidden="1" customWidth="1"/>
    <col min="9" max="11" width="0" style="18" hidden="1" customWidth="1"/>
    <col min="12" max="12" width="9.5703125" style="18" hidden="1" customWidth="1"/>
    <col min="13" max="14" width="9.5703125" style="18" bestFit="1" customWidth="1"/>
    <col min="15" max="16384" width="9.140625" style="18"/>
  </cols>
  <sheetData>
    <row r="1" spans="1:15" s="36" customFormat="1" ht="18.75" customHeight="1" x14ac:dyDescent="0.3">
      <c r="A1" s="167" t="s">
        <v>426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89" customFormat="1" ht="18.75" customHeight="1" x14ac:dyDescent="0.3">
      <c r="A4" s="71"/>
      <c r="B4" s="39"/>
      <c r="C4" s="39"/>
      <c r="D4" s="39"/>
      <c r="E4" s="39"/>
      <c r="F4" s="446"/>
      <c r="G4" s="446"/>
      <c r="H4" s="446"/>
      <c r="I4" s="446"/>
      <c r="J4" s="446"/>
      <c r="K4" s="446"/>
      <c r="L4" s="446"/>
      <c r="M4" s="446"/>
      <c r="N4" s="446"/>
      <c r="O4" s="446"/>
    </row>
    <row r="5" spans="1:15" s="89" customFormat="1" ht="18.75" customHeight="1" x14ac:dyDescent="0.3">
      <c r="A5" s="71"/>
      <c r="B5" s="39"/>
      <c r="C5" s="39"/>
      <c r="D5" s="39"/>
      <c r="E5" s="39"/>
      <c r="F5" s="446"/>
      <c r="G5" s="446"/>
      <c r="H5" s="446"/>
      <c r="I5" s="446"/>
      <c r="J5" s="446"/>
      <c r="K5" s="446"/>
      <c r="L5" s="446"/>
      <c r="M5" s="446"/>
      <c r="N5" s="446"/>
      <c r="O5" s="446"/>
    </row>
    <row r="6" spans="1:15" s="89" customFormat="1" ht="18.75" customHeight="1" x14ac:dyDescent="0.3">
      <c r="A6" s="71"/>
      <c r="B6" s="39"/>
      <c r="C6" s="39"/>
      <c r="D6" s="39"/>
      <c r="E6" s="39"/>
      <c r="F6" s="446"/>
      <c r="G6" s="446"/>
      <c r="H6" s="446"/>
      <c r="I6" s="446"/>
      <c r="J6" s="446"/>
      <c r="K6" s="446"/>
      <c r="L6" s="446"/>
      <c r="M6" s="446"/>
      <c r="N6" s="446"/>
      <c r="O6" s="446"/>
    </row>
    <row r="7" spans="1:15" s="89" customFormat="1" ht="18.75" hidden="1" customHeight="1" x14ac:dyDescent="0.3">
      <c r="A7" s="178" t="s">
        <v>178</v>
      </c>
      <c r="B7" s="152">
        <v>255362.5</v>
      </c>
      <c r="C7" s="152">
        <v>259032.5</v>
      </c>
      <c r="D7" s="152"/>
      <c r="E7" s="152"/>
      <c r="F7" s="457"/>
      <c r="G7" s="457"/>
      <c r="H7" s="457"/>
      <c r="I7" s="457"/>
      <c r="J7" s="457"/>
      <c r="K7" s="457"/>
      <c r="L7" s="457"/>
      <c r="M7" s="457"/>
      <c r="N7" s="457"/>
      <c r="O7" s="457"/>
    </row>
    <row r="8" spans="1:15" s="89" customFormat="1" ht="18.75" hidden="1" customHeight="1" x14ac:dyDescent="0.3">
      <c r="A8" s="178" t="s">
        <v>179</v>
      </c>
      <c r="B8" s="152">
        <v>113247.5</v>
      </c>
      <c r="C8" s="152">
        <v>111447.5</v>
      </c>
      <c r="D8" s="152"/>
      <c r="E8" s="152"/>
      <c r="F8" s="457"/>
      <c r="G8" s="457"/>
      <c r="H8" s="457"/>
      <c r="I8" s="457"/>
      <c r="J8" s="457"/>
      <c r="K8" s="457"/>
      <c r="L8" s="457"/>
      <c r="M8" s="457"/>
      <c r="N8" s="457"/>
      <c r="O8" s="457"/>
    </row>
    <row r="9" spans="1:15" s="89" customFormat="1" ht="18.75" customHeight="1" x14ac:dyDescent="0.3">
      <c r="A9" s="47" t="s">
        <v>614</v>
      </c>
      <c r="B9" s="39"/>
      <c r="C9" s="39"/>
      <c r="D9" s="39">
        <v>75600</v>
      </c>
      <c r="E9" s="39">
        <v>72800</v>
      </c>
      <c r="F9" s="446">
        <v>69050</v>
      </c>
      <c r="G9" s="446">
        <v>63450</v>
      </c>
      <c r="H9" s="446">
        <f>28925+28925</f>
        <v>57850</v>
      </c>
      <c r="I9" s="446">
        <f>26025*2</f>
        <v>52050</v>
      </c>
      <c r="J9" s="447">
        <f>21525+21525</f>
        <v>43050</v>
      </c>
      <c r="K9" s="447">
        <f>16950*2</f>
        <v>33900</v>
      </c>
      <c r="L9" s="447">
        <f>12300*2</f>
        <v>24600</v>
      </c>
      <c r="M9" s="447">
        <f>7500*2</f>
        <v>15000</v>
      </c>
      <c r="N9" s="447">
        <f>2475*2</f>
        <v>4950</v>
      </c>
      <c r="O9" s="447">
        <f>1200*2</f>
        <v>2400</v>
      </c>
    </row>
    <row r="10" spans="1:15" s="89" customFormat="1" ht="18.75" customHeight="1" x14ac:dyDescent="0.3">
      <c r="A10" s="47" t="s">
        <v>615</v>
      </c>
      <c r="B10" s="86"/>
      <c r="C10" s="39"/>
      <c r="D10" s="39">
        <v>271950</v>
      </c>
      <c r="E10" s="39">
        <f>36525+200000+36525</f>
        <v>273050</v>
      </c>
      <c r="F10" s="446">
        <v>280000</v>
      </c>
      <c r="G10" s="446">
        <v>280000</v>
      </c>
      <c r="H10" s="446">
        <v>290000</v>
      </c>
      <c r="I10" s="446">
        <v>300000</v>
      </c>
      <c r="J10" s="447">
        <v>305000</v>
      </c>
      <c r="K10" s="447">
        <v>310000</v>
      </c>
      <c r="L10" s="447">
        <v>320000</v>
      </c>
      <c r="M10" s="447">
        <v>335000</v>
      </c>
      <c r="N10" s="447">
        <v>85000</v>
      </c>
      <c r="O10" s="447">
        <v>80000</v>
      </c>
    </row>
    <row r="11" spans="1:15" s="89" customFormat="1" ht="18.75" customHeight="1" x14ac:dyDescent="0.3">
      <c r="A11" s="47"/>
      <c r="B11" s="86"/>
      <c r="C11" s="39"/>
      <c r="D11" s="39"/>
      <c r="E11" s="39"/>
      <c r="F11" s="446"/>
      <c r="G11" s="446"/>
      <c r="H11" s="446"/>
      <c r="I11" s="446"/>
      <c r="J11" s="446"/>
      <c r="K11" s="446"/>
      <c r="L11" s="446"/>
      <c r="M11" s="446"/>
      <c r="N11" s="446"/>
      <c r="O11" s="446"/>
    </row>
    <row r="12" spans="1:15" s="89" customFormat="1" ht="18.75" customHeight="1" x14ac:dyDescent="0.3">
      <c r="A12" s="47"/>
      <c r="B12" s="39"/>
      <c r="C12" s="39"/>
      <c r="D12" s="39"/>
      <c r="E12" s="39"/>
      <c r="F12" s="446"/>
      <c r="G12" s="446"/>
      <c r="H12" s="446"/>
      <c r="I12" s="446"/>
      <c r="J12" s="446"/>
      <c r="K12" s="446"/>
      <c r="L12" s="446"/>
      <c r="M12" s="446"/>
      <c r="N12" s="446"/>
      <c r="O12" s="446"/>
    </row>
    <row r="13" spans="1:15" s="36" customFormat="1" ht="18.75" customHeight="1" x14ac:dyDescent="0.3">
      <c r="A13" s="42"/>
      <c r="B13" s="26"/>
      <c r="C13" s="26"/>
      <c r="D13" s="26"/>
      <c r="E13" s="26"/>
      <c r="F13" s="451"/>
      <c r="G13" s="451"/>
      <c r="H13" s="451"/>
      <c r="I13" s="451"/>
      <c r="J13" s="451"/>
      <c r="K13" s="451"/>
      <c r="L13" s="451"/>
      <c r="M13" s="451"/>
      <c r="N13" s="451"/>
      <c r="O13" s="451"/>
    </row>
    <row r="14" spans="1:15" ht="18.75" customHeight="1" thickBot="1" x14ac:dyDescent="0.35">
      <c r="A14" s="47"/>
      <c r="B14" s="40"/>
      <c r="C14" s="40"/>
      <c r="D14" s="40"/>
      <c r="E14" s="40"/>
      <c r="F14" s="441"/>
      <c r="G14" s="441"/>
      <c r="H14" s="441"/>
      <c r="I14" s="441"/>
      <c r="J14" s="441"/>
      <c r="K14" s="441"/>
      <c r="L14" s="441"/>
      <c r="M14" s="441"/>
      <c r="N14" s="441"/>
      <c r="O14" s="441"/>
    </row>
    <row r="15" spans="1:15" s="36" customFormat="1" ht="18.75" customHeight="1" thickTop="1" x14ac:dyDescent="0.3">
      <c r="A15" s="73" t="s">
        <v>95</v>
      </c>
      <c r="B15" s="189">
        <f t="shared" ref="B15:H15" si="0">SUM(B4:B14)</f>
        <v>368610</v>
      </c>
      <c r="C15" s="189">
        <f t="shared" si="0"/>
        <v>370480</v>
      </c>
      <c r="D15" s="189">
        <f t="shared" si="0"/>
        <v>347550</v>
      </c>
      <c r="E15" s="189">
        <f t="shared" si="0"/>
        <v>345850</v>
      </c>
      <c r="F15" s="478">
        <f t="shared" si="0"/>
        <v>349050</v>
      </c>
      <c r="G15" s="478">
        <f>SUM(G4:G14)</f>
        <v>343450</v>
      </c>
      <c r="H15" s="478">
        <f t="shared" si="0"/>
        <v>347850</v>
      </c>
      <c r="I15" s="478">
        <f t="shared" ref="I15:N15" si="1">SUM(I4:I14)</f>
        <v>352050</v>
      </c>
      <c r="J15" s="478">
        <f t="shared" si="1"/>
        <v>348050</v>
      </c>
      <c r="K15" s="478">
        <f t="shared" si="1"/>
        <v>343900</v>
      </c>
      <c r="L15" s="478">
        <f t="shared" si="1"/>
        <v>344600</v>
      </c>
      <c r="M15" s="478">
        <f t="shared" si="1"/>
        <v>350000</v>
      </c>
      <c r="N15" s="478">
        <f t="shared" si="1"/>
        <v>89950</v>
      </c>
      <c r="O15" s="478">
        <f t="shared" ref="O15" si="2">SUM(O4:O14)</f>
        <v>82400</v>
      </c>
    </row>
    <row r="16" spans="1:15" ht="18.75" customHeight="1" x14ac:dyDescent="0.3">
      <c r="A16" s="199"/>
      <c r="B16" s="199"/>
      <c r="C16" s="199"/>
      <c r="D16" s="199"/>
    </row>
    <row r="17" spans="1:2" ht="18.75" customHeight="1" x14ac:dyDescent="0.3">
      <c r="A17" s="11"/>
      <c r="B17" s="18"/>
    </row>
    <row r="18" spans="1:2" ht="18.75" customHeight="1" x14ac:dyDescent="0.3">
      <c r="A18" s="11" t="s">
        <v>693</v>
      </c>
    </row>
    <row r="19" spans="1:2" ht="18.75" customHeight="1" x14ac:dyDescent="0.3">
      <c r="A19" s="11"/>
    </row>
    <row r="20" spans="1:2" ht="18.75" customHeight="1" x14ac:dyDescent="0.3">
      <c r="A20" s="11"/>
    </row>
    <row r="21" spans="1:2" ht="18.75" customHeight="1" x14ac:dyDescent="0.3">
      <c r="A21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1"/>
  <sheetViews>
    <sheetView workbookViewId="0"/>
  </sheetViews>
  <sheetFormatPr defaultColWidth="9.140625" defaultRowHeight="18.75" customHeight="1" x14ac:dyDescent="0.3"/>
  <cols>
    <col min="1" max="1" width="35.42578125" style="67" bestFit="1" customWidth="1"/>
    <col min="2" max="8" width="10.2851562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427</v>
      </c>
      <c r="B1" s="154"/>
      <c r="C1" s="145" t="s">
        <v>465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207"/>
      <c r="B4" s="207"/>
      <c r="C4" s="207"/>
      <c r="D4" s="207"/>
      <c r="E4" s="207"/>
      <c r="F4" s="482"/>
      <c r="G4" s="482"/>
      <c r="H4" s="482"/>
      <c r="I4" s="482"/>
      <c r="J4" s="482"/>
      <c r="K4" s="482"/>
      <c r="L4" s="482"/>
      <c r="M4" s="482"/>
      <c r="N4" s="482"/>
      <c r="O4" s="482"/>
    </row>
    <row r="5" spans="1:15" ht="18.75" customHeight="1" x14ac:dyDescent="0.3">
      <c r="A5" s="47"/>
      <c r="B5" s="32">
        <v>2750</v>
      </c>
      <c r="C5" s="32"/>
      <c r="D5" s="32"/>
      <c r="E5" s="32"/>
      <c r="F5" s="401"/>
      <c r="G5" s="401"/>
      <c r="H5" s="401"/>
      <c r="I5" s="401"/>
      <c r="J5" s="401"/>
      <c r="K5" s="401"/>
      <c r="L5" s="401"/>
      <c r="M5" s="401"/>
      <c r="N5" s="401"/>
      <c r="O5" s="401"/>
    </row>
    <row r="6" spans="1:15" ht="18.75" customHeight="1" x14ac:dyDescent="0.3">
      <c r="A6" s="47" t="s">
        <v>751</v>
      </c>
      <c r="B6" s="32"/>
      <c r="C6" s="32">
        <v>3250</v>
      </c>
      <c r="D6" s="32">
        <f>5*50*14</f>
        <v>3500</v>
      </c>
      <c r="E6" s="32">
        <f>5*50*14</f>
        <v>3500</v>
      </c>
      <c r="F6" s="401">
        <f>5*50*16</f>
        <v>4000</v>
      </c>
      <c r="G6" s="401">
        <f>5*50*16</f>
        <v>4000</v>
      </c>
      <c r="H6" s="401">
        <f t="shared" ref="H6:M6" si="0">50*16*5</f>
        <v>4000</v>
      </c>
      <c r="I6" s="401">
        <f t="shared" si="0"/>
        <v>4000</v>
      </c>
      <c r="J6" s="401">
        <f t="shared" si="0"/>
        <v>4000</v>
      </c>
      <c r="K6" s="401">
        <f t="shared" si="0"/>
        <v>4000</v>
      </c>
      <c r="L6" s="401">
        <f t="shared" si="0"/>
        <v>4000</v>
      </c>
      <c r="M6" s="401">
        <f t="shared" si="0"/>
        <v>4000</v>
      </c>
      <c r="N6" s="401">
        <f>50*18*5</f>
        <v>4500</v>
      </c>
      <c r="O6" s="401">
        <f>50*18*5</f>
        <v>4500</v>
      </c>
    </row>
    <row r="7" spans="1:15" ht="18.75" customHeight="1" x14ac:dyDescent="0.3">
      <c r="A7" s="311"/>
      <c r="B7" s="138"/>
      <c r="C7" s="138"/>
      <c r="D7" s="138"/>
      <c r="E7" s="138"/>
      <c r="F7" s="483"/>
      <c r="G7" s="483"/>
      <c r="H7" s="483"/>
      <c r="I7" s="483"/>
      <c r="J7" s="483"/>
      <c r="K7" s="483"/>
      <c r="L7" s="483"/>
      <c r="M7" s="483"/>
      <c r="N7" s="483"/>
      <c r="O7" s="483"/>
    </row>
    <row r="8" spans="1:15" ht="18.75" customHeight="1" x14ac:dyDescent="0.3">
      <c r="A8" s="311"/>
      <c r="B8" s="138"/>
      <c r="C8" s="138"/>
      <c r="D8" s="138"/>
      <c r="E8" s="138"/>
      <c r="F8" s="483"/>
      <c r="G8" s="483"/>
      <c r="H8" s="483"/>
      <c r="I8" s="483"/>
      <c r="J8" s="483"/>
      <c r="K8" s="483"/>
      <c r="L8" s="483"/>
      <c r="M8" s="483"/>
      <c r="N8" s="483"/>
      <c r="O8" s="483"/>
    </row>
    <row r="9" spans="1:15" ht="18.75" customHeight="1" x14ac:dyDescent="0.3">
      <c r="A9" s="315"/>
      <c r="B9" s="32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</row>
    <row r="10" spans="1:15" ht="18.75" customHeight="1" thickBot="1" x14ac:dyDescent="0.35">
      <c r="A10" s="311"/>
      <c r="B10" s="316">
        <v>-500</v>
      </c>
      <c r="C10" s="316"/>
      <c r="D10" s="316"/>
      <c r="E10" s="316"/>
      <c r="F10" s="484"/>
      <c r="G10" s="484"/>
      <c r="H10" s="484"/>
      <c r="I10" s="484"/>
      <c r="J10" s="484"/>
      <c r="K10" s="484"/>
      <c r="L10" s="484"/>
      <c r="M10" s="484"/>
      <c r="N10" s="484"/>
      <c r="O10" s="484"/>
    </row>
    <row r="11" spans="1:15" s="36" customFormat="1" ht="18.75" customHeight="1" thickTop="1" x14ac:dyDescent="0.3">
      <c r="A11" s="73" t="s">
        <v>95</v>
      </c>
      <c r="B11" s="34">
        <f t="shared" ref="B11:H11" si="1">SUM(B4:B10)</f>
        <v>2250</v>
      </c>
      <c r="C11" s="34">
        <f t="shared" si="1"/>
        <v>3250</v>
      </c>
      <c r="D11" s="34">
        <f t="shared" si="1"/>
        <v>3500</v>
      </c>
      <c r="E11" s="34">
        <f t="shared" si="1"/>
        <v>3500</v>
      </c>
      <c r="F11" s="403">
        <f t="shared" si="1"/>
        <v>4000</v>
      </c>
      <c r="G11" s="403">
        <f>SUM(G4:G10)</f>
        <v>4000</v>
      </c>
      <c r="H11" s="403">
        <f t="shared" si="1"/>
        <v>4000</v>
      </c>
      <c r="I11" s="403">
        <f t="shared" ref="I11:N11" si="2">SUM(I4:I10)</f>
        <v>4000</v>
      </c>
      <c r="J11" s="403">
        <f t="shared" si="2"/>
        <v>4000</v>
      </c>
      <c r="K11" s="403">
        <f t="shared" si="2"/>
        <v>4000</v>
      </c>
      <c r="L11" s="403">
        <f t="shared" si="2"/>
        <v>4000</v>
      </c>
      <c r="M11" s="403">
        <f t="shared" si="2"/>
        <v>4000</v>
      </c>
      <c r="N11" s="403">
        <f t="shared" si="2"/>
        <v>4500</v>
      </c>
      <c r="O11" s="403">
        <f t="shared" ref="O11" si="3">SUM(O4:O10)</f>
        <v>4500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13"/>
  <sheetViews>
    <sheetView workbookViewId="0"/>
  </sheetViews>
  <sheetFormatPr defaultColWidth="9.140625" defaultRowHeight="18.75" customHeight="1" x14ac:dyDescent="0.3"/>
  <cols>
    <col min="1" max="1" width="40.28515625" style="67" bestFit="1" customWidth="1"/>
    <col min="2" max="4" width="10.7109375" style="18" hidden="1" customWidth="1"/>
    <col min="5" max="8" width="10.14062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20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84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15" ht="18.75" customHeight="1" x14ac:dyDescent="0.3">
      <c r="A5" s="42" t="s">
        <v>362</v>
      </c>
      <c r="B5" s="32">
        <v>1765</v>
      </c>
      <c r="C5" s="32">
        <v>1550</v>
      </c>
      <c r="D5" s="32">
        <v>3000</v>
      </c>
      <c r="E5" s="32">
        <v>3000</v>
      </c>
      <c r="F5" s="401">
        <v>2500</v>
      </c>
      <c r="G5" s="401">
        <v>2500</v>
      </c>
      <c r="H5" s="401">
        <v>2500</v>
      </c>
      <c r="I5" s="401">
        <v>2500</v>
      </c>
      <c r="J5" s="401">
        <v>2500</v>
      </c>
      <c r="K5" s="401">
        <v>2500</v>
      </c>
      <c r="L5" s="401">
        <v>2500</v>
      </c>
      <c r="M5" s="401">
        <v>2500</v>
      </c>
      <c r="N5" s="401">
        <v>2500</v>
      </c>
      <c r="O5" s="401">
        <v>2500</v>
      </c>
    </row>
    <row r="6" spans="1:15" ht="18.75" hidden="1" customHeight="1" x14ac:dyDescent="0.3">
      <c r="A6" s="42" t="s">
        <v>302</v>
      </c>
      <c r="B6" s="32">
        <v>2750</v>
      </c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</row>
    <row r="7" spans="1:15" ht="18.75" customHeight="1" x14ac:dyDescent="0.3">
      <c r="A7" s="42" t="s">
        <v>338</v>
      </c>
      <c r="B7" s="32"/>
      <c r="C7" s="32">
        <v>2000</v>
      </c>
      <c r="D7" s="32">
        <v>4000</v>
      </c>
      <c r="E7" s="32">
        <v>4000</v>
      </c>
      <c r="F7" s="401">
        <v>5000</v>
      </c>
      <c r="G7" s="401">
        <v>25000</v>
      </c>
      <c r="H7" s="401">
        <v>25000</v>
      </c>
      <c r="I7" s="401">
        <v>25000</v>
      </c>
      <c r="J7" s="401">
        <v>25000</v>
      </c>
      <c r="K7" s="401">
        <v>25000</v>
      </c>
      <c r="L7" s="401">
        <v>25000</v>
      </c>
      <c r="M7" s="401">
        <v>25000</v>
      </c>
      <c r="N7" s="401">
        <v>25000</v>
      </c>
      <c r="O7" s="401">
        <v>25000</v>
      </c>
    </row>
    <row r="8" spans="1:15" ht="18.75" customHeight="1" x14ac:dyDescent="0.3">
      <c r="A8" s="43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</row>
    <row r="9" spans="1:15" ht="18.75" customHeight="1" x14ac:dyDescent="0.3">
      <c r="A9" s="43"/>
      <c r="B9" s="32"/>
      <c r="C9" s="32"/>
      <c r="D9" s="32"/>
      <c r="E9" s="32"/>
      <c r="F9" s="401"/>
      <c r="G9" s="401"/>
      <c r="H9" s="401"/>
      <c r="I9" s="401"/>
      <c r="J9" s="401"/>
      <c r="K9" s="401"/>
      <c r="L9" s="401"/>
      <c r="M9" s="401"/>
      <c r="N9" s="401"/>
      <c r="O9" s="401"/>
    </row>
    <row r="10" spans="1:15" ht="18.75" customHeight="1" x14ac:dyDescent="0.3">
      <c r="A10" s="43"/>
      <c r="B10" s="32"/>
      <c r="C10" s="32"/>
      <c r="D10" s="32"/>
      <c r="E10" s="32"/>
      <c r="F10" s="401"/>
      <c r="G10" s="401"/>
      <c r="H10" s="401"/>
      <c r="I10" s="401"/>
      <c r="J10" s="401"/>
      <c r="K10" s="401"/>
      <c r="L10" s="401"/>
      <c r="M10" s="401"/>
      <c r="N10" s="401"/>
      <c r="O10" s="401"/>
    </row>
    <row r="11" spans="1:15" ht="18.75" customHeight="1" x14ac:dyDescent="0.3">
      <c r="A11" s="43"/>
      <c r="B11" s="138"/>
      <c r="C11" s="32"/>
      <c r="D11" s="32"/>
      <c r="E11" s="32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  <row r="12" spans="1:15" ht="18.75" customHeight="1" thickBot="1" x14ac:dyDescent="0.35">
      <c r="A12" s="43"/>
      <c r="B12" s="216">
        <f>-4305-210</f>
        <v>-4515</v>
      </c>
      <c r="C12" s="33"/>
      <c r="D12" s="33"/>
      <c r="E12" s="33"/>
      <c r="F12" s="402"/>
      <c r="G12" s="402"/>
      <c r="H12" s="402"/>
      <c r="I12" s="402"/>
      <c r="J12" s="402"/>
      <c r="K12" s="402"/>
      <c r="L12" s="402"/>
      <c r="M12" s="402"/>
      <c r="N12" s="402"/>
      <c r="O12" s="402"/>
    </row>
    <row r="13" spans="1:15" s="36" customFormat="1" ht="18.75" customHeight="1" x14ac:dyDescent="0.3">
      <c r="A13" s="170" t="s">
        <v>95</v>
      </c>
      <c r="B13" s="641">
        <f>SUM(B4:B12)</f>
        <v>0</v>
      </c>
      <c r="C13" s="641">
        <f t="shared" ref="C13:H13" si="0">SUM(C4:C12)</f>
        <v>3550</v>
      </c>
      <c r="D13" s="641">
        <f t="shared" si="0"/>
        <v>7000</v>
      </c>
      <c r="E13" s="641">
        <f t="shared" si="0"/>
        <v>7000</v>
      </c>
      <c r="F13" s="642">
        <f>SUM(F4:F12)</f>
        <v>7500</v>
      </c>
      <c r="G13" s="642">
        <f>SUM(G4:G12)</f>
        <v>27500</v>
      </c>
      <c r="H13" s="642">
        <f t="shared" si="0"/>
        <v>27500</v>
      </c>
      <c r="I13" s="642">
        <f t="shared" ref="I13:N13" si="1">SUM(I4:I12)</f>
        <v>27500</v>
      </c>
      <c r="J13" s="642">
        <f t="shared" si="1"/>
        <v>27500</v>
      </c>
      <c r="K13" s="642">
        <f t="shared" si="1"/>
        <v>27500</v>
      </c>
      <c r="L13" s="642">
        <f t="shared" si="1"/>
        <v>27500</v>
      </c>
      <c r="M13" s="642">
        <f t="shared" si="1"/>
        <v>27500</v>
      </c>
      <c r="N13" s="642">
        <f t="shared" si="1"/>
        <v>27500</v>
      </c>
      <c r="O13" s="642">
        <f t="shared" ref="O13" si="2">SUM(O4:O12)</f>
        <v>27500</v>
      </c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36" customFormat="1" ht="18.75" customHeight="1" x14ac:dyDescent="0.3">
      <c r="A1" s="168" t="s">
        <v>23</v>
      </c>
      <c r="B1" s="154"/>
      <c r="C1" s="145"/>
      <c r="D1" s="145"/>
      <c r="E1" s="145"/>
      <c r="F1" s="145"/>
    </row>
    <row r="2" spans="1:6" ht="18.75" customHeight="1" x14ac:dyDescent="0.2">
      <c r="A2" s="22"/>
      <c r="B2" s="14"/>
      <c r="C2" s="22"/>
      <c r="D2" s="22"/>
      <c r="E2" s="22"/>
      <c r="F2" s="22"/>
    </row>
    <row r="3" spans="1:6" s="2" customFormat="1" ht="18.75" customHeight="1" x14ac:dyDescent="0.3">
      <c r="A3" s="31" t="s">
        <v>97</v>
      </c>
      <c r="B3" s="31">
        <v>2010</v>
      </c>
      <c r="C3" s="31">
        <v>2011</v>
      </c>
      <c r="D3" s="31">
        <v>2012</v>
      </c>
      <c r="E3" s="31">
        <v>2013</v>
      </c>
      <c r="F3" s="31">
        <v>2014</v>
      </c>
    </row>
    <row r="4" spans="1:6" s="5" customFormat="1" ht="9.75" customHeight="1" x14ac:dyDescent="0.3">
      <c r="A4" s="84"/>
      <c r="B4" s="84"/>
      <c r="C4" s="84"/>
      <c r="D4" s="84"/>
      <c r="E4" s="84"/>
      <c r="F4" s="84"/>
    </row>
    <row r="5" spans="1:6" ht="18.75" customHeight="1" x14ac:dyDescent="0.2">
      <c r="A5" s="318" t="s">
        <v>22</v>
      </c>
      <c r="B5" s="147"/>
      <c r="C5" s="147"/>
      <c r="D5" s="147"/>
      <c r="E5" s="147"/>
      <c r="F5" s="147"/>
    </row>
    <row r="6" spans="1:6" ht="18.75" customHeight="1" x14ac:dyDescent="0.2">
      <c r="A6" s="178" t="s">
        <v>335</v>
      </c>
      <c r="B6" s="147">
        <v>42500</v>
      </c>
      <c r="C6" s="156"/>
      <c r="D6" s="156"/>
      <c r="E6" s="156"/>
      <c r="F6" s="156"/>
    </row>
    <row r="7" spans="1:6" ht="18.75" customHeight="1" x14ac:dyDescent="0.3">
      <c r="A7" s="43"/>
      <c r="B7" s="156"/>
      <c r="C7" s="156"/>
      <c r="D7" s="156"/>
      <c r="E7" s="156"/>
      <c r="F7" s="156"/>
    </row>
    <row r="8" spans="1:6" ht="18.75" customHeight="1" x14ac:dyDescent="0.3">
      <c r="A8" s="47" t="s">
        <v>303</v>
      </c>
      <c r="B8" s="147"/>
      <c r="C8" s="147">
        <v>50000</v>
      </c>
      <c r="D8" s="156"/>
      <c r="E8" s="156"/>
      <c r="F8" s="156"/>
    </row>
    <row r="9" spans="1:6" ht="18.75" customHeight="1" x14ac:dyDescent="0.3">
      <c r="A9" s="43"/>
      <c r="B9" s="156"/>
      <c r="C9" s="156"/>
      <c r="D9" s="156"/>
      <c r="E9" s="156"/>
      <c r="F9" s="156"/>
    </row>
    <row r="10" spans="1:6" ht="18.75" customHeight="1" x14ac:dyDescent="0.3">
      <c r="A10" s="47" t="s">
        <v>336</v>
      </c>
      <c r="B10" s="147"/>
      <c r="C10" s="147"/>
      <c r="D10" s="147">
        <v>56393.53</v>
      </c>
      <c r="E10" s="147"/>
      <c r="F10" s="147"/>
    </row>
    <row r="11" spans="1:6" ht="18.75" customHeight="1" x14ac:dyDescent="0.3">
      <c r="A11" s="47"/>
      <c r="B11" s="147"/>
      <c r="C11" s="147"/>
      <c r="D11" s="147"/>
      <c r="E11" s="147"/>
      <c r="F11" s="147"/>
    </row>
    <row r="12" spans="1:6" ht="18.75" customHeight="1" x14ac:dyDescent="0.3">
      <c r="A12" s="47"/>
      <c r="B12" s="147"/>
      <c r="C12" s="147"/>
      <c r="D12" s="147"/>
      <c r="E12" s="147"/>
      <c r="F12" s="147"/>
    </row>
    <row r="13" spans="1:6" ht="18.75" customHeight="1" x14ac:dyDescent="0.3">
      <c r="A13" s="43" t="s">
        <v>348</v>
      </c>
      <c r="B13" s="148">
        <v>6000</v>
      </c>
      <c r="C13" s="148">
        <v>4751</v>
      </c>
      <c r="D13" s="148">
        <v>-50964.53</v>
      </c>
      <c r="E13" s="148"/>
      <c r="F13" s="148"/>
    </row>
    <row r="14" spans="1:6" s="2" customFormat="1" ht="18.75" customHeight="1" x14ac:dyDescent="0.3">
      <c r="A14" s="170" t="s">
        <v>95</v>
      </c>
      <c r="B14" s="317">
        <f>SUM(B4:B13)</f>
        <v>48500</v>
      </c>
      <c r="C14" s="317">
        <f>SUM(C4:C13)</f>
        <v>54751</v>
      </c>
      <c r="D14" s="317">
        <f>SUM(D4:D13)</f>
        <v>5429</v>
      </c>
      <c r="E14" s="317">
        <f>SUM(E4:E13)</f>
        <v>0</v>
      </c>
      <c r="F14" s="317">
        <f>SUM(F4:F13)</f>
        <v>0</v>
      </c>
    </row>
    <row r="15" spans="1:6" ht="18.75" customHeight="1" x14ac:dyDescent="0.2">
      <c r="C15"/>
      <c r="D15"/>
    </row>
  </sheetData>
  <phoneticPr fontId="21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O33"/>
  <sheetViews>
    <sheetView workbookViewId="0"/>
  </sheetViews>
  <sheetFormatPr defaultColWidth="9.140625" defaultRowHeight="18.75" customHeight="1" x14ac:dyDescent="0.3"/>
  <cols>
    <col min="1" max="1" width="29.7109375" style="67" bestFit="1" customWidth="1"/>
    <col min="2" max="2" width="11" style="35" hidden="1" customWidth="1"/>
    <col min="3" max="4" width="11" style="18" hidden="1" customWidth="1"/>
    <col min="5" max="8" width="10.2851562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279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s="36" customFormat="1" ht="18.75" customHeight="1" x14ac:dyDescent="0.3">
      <c r="A4" s="31"/>
      <c r="B4" s="94"/>
      <c r="C4" s="94"/>
      <c r="D4" s="94"/>
      <c r="E4" s="94"/>
      <c r="F4" s="437"/>
      <c r="G4" s="437"/>
      <c r="H4" s="437"/>
      <c r="I4" s="437"/>
      <c r="J4" s="437"/>
      <c r="K4" s="437"/>
      <c r="L4" s="437"/>
      <c r="M4" s="437"/>
      <c r="N4" s="437"/>
      <c r="O4" s="437"/>
    </row>
    <row r="5" spans="1:15" s="36" customFormat="1" ht="21.95" customHeight="1" x14ac:dyDescent="0.3">
      <c r="A5" s="47" t="s">
        <v>5</v>
      </c>
      <c r="B5" s="26">
        <v>200</v>
      </c>
      <c r="C5" s="26">
        <v>100</v>
      </c>
      <c r="D5" s="26">
        <v>150</v>
      </c>
      <c r="E5" s="26">
        <v>150</v>
      </c>
      <c r="F5" s="451">
        <v>200</v>
      </c>
      <c r="G5" s="451">
        <v>200</v>
      </c>
      <c r="H5" s="451">
        <v>200</v>
      </c>
      <c r="I5" s="451">
        <v>200</v>
      </c>
      <c r="J5" s="451">
        <v>200</v>
      </c>
      <c r="K5" s="451">
        <v>200</v>
      </c>
      <c r="L5" s="451">
        <v>200</v>
      </c>
      <c r="M5" s="451">
        <v>350</v>
      </c>
      <c r="N5" s="451">
        <v>400</v>
      </c>
      <c r="O5" s="451">
        <v>500</v>
      </c>
    </row>
    <row r="6" spans="1:15" s="36" customFormat="1" ht="21.95" customHeight="1" x14ac:dyDescent="0.3">
      <c r="A6" s="47" t="s">
        <v>363</v>
      </c>
      <c r="B6" s="26">
        <v>300</v>
      </c>
      <c r="C6" s="26">
        <v>150</v>
      </c>
      <c r="D6" s="26">
        <v>150</v>
      </c>
      <c r="E6" s="26">
        <v>150</v>
      </c>
      <c r="F6" s="451">
        <v>150</v>
      </c>
      <c r="G6" s="451">
        <v>0</v>
      </c>
      <c r="H6" s="451">
        <v>100</v>
      </c>
      <c r="I6" s="451">
        <v>100</v>
      </c>
      <c r="J6" s="451">
        <v>100</v>
      </c>
      <c r="K6" s="451">
        <v>100</v>
      </c>
      <c r="L6" s="451">
        <v>100</v>
      </c>
      <c r="M6" s="451">
        <v>100</v>
      </c>
      <c r="N6" s="451">
        <v>0</v>
      </c>
      <c r="O6" s="451">
        <v>0</v>
      </c>
    </row>
    <row r="7" spans="1:15" s="36" customFormat="1" ht="21.95" hidden="1" customHeight="1" x14ac:dyDescent="0.3">
      <c r="A7" s="47" t="s">
        <v>272</v>
      </c>
      <c r="B7" s="26">
        <v>1000</v>
      </c>
      <c r="C7" s="26">
        <v>200</v>
      </c>
      <c r="D7" s="26">
        <v>200</v>
      </c>
      <c r="E7" s="355"/>
      <c r="F7" s="485"/>
      <c r="G7" s="485"/>
      <c r="H7" s="485"/>
      <c r="I7" s="485"/>
      <c r="J7" s="485"/>
      <c r="K7" s="485"/>
      <c r="L7" s="485"/>
      <c r="M7" s="485"/>
      <c r="N7" s="485"/>
      <c r="O7" s="485"/>
    </row>
    <row r="8" spans="1:15" s="36" customFormat="1" ht="21.95" hidden="1" customHeight="1" x14ac:dyDescent="0.3">
      <c r="A8" s="47" t="s">
        <v>6</v>
      </c>
      <c r="B8" s="26">
        <v>125</v>
      </c>
      <c r="C8" s="26">
        <v>125</v>
      </c>
      <c r="D8" s="26">
        <v>100</v>
      </c>
      <c r="E8" s="355"/>
      <c r="F8" s="485"/>
      <c r="G8" s="485"/>
      <c r="H8" s="485"/>
      <c r="I8" s="485"/>
      <c r="J8" s="485"/>
      <c r="K8" s="485"/>
      <c r="L8" s="485"/>
      <c r="M8" s="485"/>
      <c r="N8" s="485"/>
      <c r="O8" s="485"/>
    </row>
    <row r="9" spans="1:15" s="36" customFormat="1" ht="21.95" customHeight="1" x14ac:dyDescent="0.3">
      <c r="A9" s="47" t="s">
        <v>545</v>
      </c>
      <c r="B9" s="39">
        <v>500</v>
      </c>
      <c r="C9" s="26">
        <v>300</v>
      </c>
      <c r="D9" s="26">
        <v>300</v>
      </c>
      <c r="E9" s="355">
        <v>300</v>
      </c>
      <c r="F9" s="485">
        <v>300</v>
      </c>
      <c r="G9" s="485">
        <v>300</v>
      </c>
      <c r="H9" s="485">
        <v>350</v>
      </c>
      <c r="I9" s="485">
        <v>350</v>
      </c>
      <c r="J9" s="485">
        <v>500</v>
      </c>
      <c r="K9" s="485">
        <v>650</v>
      </c>
      <c r="L9" s="485">
        <v>650</v>
      </c>
      <c r="M9" s="485">
        <v>750</v>
      </c>
      <c r="N9" s="485">
        <v>750</v>
      </c>
      <c r="O9" s="485">
        <v>500</v>
      </c>
    </row>
    <row r="10" spans="1:15" s="36" customFormat="1" ht="21.95" customHeight="1" x14ac:dyDescent="0.3">
      <c r="A10" s="47" t="s">
        <v>4</v>
      </c>
      <c r="B10" s="26">
        <v>300</v>
      </c>
      <c r="C10" s="39">
        <v>200</v>
      </c>
      <c r="D10" s="39">
        <v>0</v>
      </c>
      <c r="E10" s="75">
        <v>0</v>
      </c>
      <c r="F10" s="439">
        <v>150</v>
      </c>
      <c r="G10" s="439">
        <v>150</v>
      </c>
      <c r="H10" s="439">
        <v>150</v>
      </c>
      <c r="I10" s="439">
        <v>150</v>
      </c>
      <c r="J10" s="439">
        <v>150</v>
      </c>
      <c r="K10" s="439">
        <v>150</v>
      </c>
      <c r="L10" s="439">
        <v>150</v>
      </c>
      <c r="M10" s="439">
        <v>200</v>
      </c>
      <c r="N10" s="439">
        <v>300</v>
      </c>
      <c r="O10" s="439">
        <v>300</v>
      </c>
    </row>
    <row r="11" spans="1:15" s="36" customFormat="1" ht="21.95" customHeight="1" x14ac:dyDescent="0.3">
      <c r="A11" s="47" t="s">
        <v>3</v>
      </c>
      <c r="B11" s="26">
        <v>300</v>
      </c>
      <c r="C11" s="26">
        <v>200</v>
      </c>
      <c r="D11" s="26">
        <v>0</v>
      </c>
      <c r="E11" s="355">
        <v>0</v>
      </c>
      <c r="F11" s="485">
        <v>150</v>
      </c>
      <c r="G11" s="485">
        <v>150</v>
      </c>
      <c r="H11" s="485">
        <v>150</v>
      </c>
      <c r="I11" s="485">
        <v>150</v>
      </c>
      <c r="J11" s="485">
        <v>150</v>
      </c>
      <c r="K11" s="485">
        <v>150</v>
      </c>
      <c r="L11" s="485">
        <v>150</v>
      </c>
      <c r="M11" s="485">
        <v>200</v>
      </c>
      <c r="N11" s="485">
        <v>300</v>
      </c>
      <c r="O11" s="485">
        <v>300</v>
      </c>
    </row>
    <row r="12" spans="1:15" s="36" customFormat="1" ht="21.95" hidden="1" customHeight="1" x14ac:dyDescent="0.3">
      <c r="A12" s="47" t="s">
        <v>7</v>
      </c>
      <c r="B12" s="26">
        <v>200</v>
      </c>
      <c r="C12" s="26">
        <v>150</v>
      </c>
      <c r="D12" s="26">
        <v>100</v>
      </c>
      <c r="E12" s="355"/>
      <c r="F12" s="485"/>
      <c r="G12" s="485"/>
      <c r="H12" s="485"/>
      <c r="I12" s="485"/>
      <c r="J12" s="485"/>
      <c r="K12" s="485"/>
      <c r="L12" s="485"/>
      <c r="M12" s="485"/>
      <c r="N12" s="485"/>
      <c r="O12" s="485"/>
    </row>
    <row r="13" spans="1:15" s="36" customFormat="1" ht="21.95" hidden="1" customHeight="1" x14ac:dyDescent="0.3">
      <c r="A13" s="47" t="s">
        <v>381</v>
      </c>
      <c r="B13" s="348"/>
      <c r="C13" s="40"/>
      <c r="D13" s="40"/>
      <c r="E13" s="40"/>
      <c r="F13" s="442"/>
      <c r="G13" s="442"/>
      <c r="H13" s="442"/>
      <c r="I13" s="442"/>
      <c r="J13" s="442"/>
      <c r="K13" s="442"/>
      <c r="L13" s="442"/>
      <c r="M13" s="442"/>
      <c r="N13" s="442"/>
      <c r="O13" s="442"/>
    </row>
    <row r="14" spans="1:15" s="36" customFormat="1" ht="21.95" customHeight="1" x14ac:dyDescent="0.3">
      <c r="A14" s="47"/>
      <c r="B14" s="348"/>
      <c r="C14" s="40"/>
      <c r="D14" s="40"/>
      <c r="E14" s="40"/>
      <c r="F14" s="442"/>
      <c r="G14" s="442"/>
      <c r="H14" s="442"/>
      <c r="I14" s="442"/>
      <c r="J14" s="442"/>
      <c r="K14" s="442"/>
      <c r="L14" s="442"/>
      <c r="M14" s="442"/>
      <c r="N14" s="442"/>
      <c r="O14" s="442"/>
    </row>
    <row r="15" spans="1:15" s="36" customFormat="1" ht="21.95" customHeight="1" x14ac:dyDescent="0.3">
      <c r="A15" s="47"/>
      <c r="B15" s="348"/>
      <c r="C15" s="40"/>
      <c r="D15" s="40"/>
      <c r="E15" s="40"/>
      <c r="F15" s="442"/>
      <c r="G15" s="442"/>
      <c r="H15" s="442"/>
      <c r="I15" s="442"/>
      <c r="J15" s="442"/>
      <c r="K15" s="442"/>
      <c r="L15" s="442"/>
      <c r="M15" s="442"/>
      <c r="N15" s="442"/>
      <c r="O15" s="442"/>
    </row>
    <row r="16" spans="1:15" ht="21.95" customHeight="1" thickBot="1" x14ac:dyDescent="0.35">
      <c r="A16" s="68"/>
      <c r="B16" s="184"/>
      <c r="C16" s="185"/>
      <c r="D16" s="185"/>
      <c r="E16" s="185"/>
      <c r="F16" s="486"/>
      <c r="G16" s="486"/>
      <c r="H16" s="486"/>
      <c r="I16" s="486"/>
      <c r="J16" s="486"/>
      <c r="K16" s="486"/>
      <c r="L16" s="486"/>
      <c r="M16" s="486"/>
      <c r="N16" s="486"/>
      <c r="O16" s="486"/>
    </row>
    <row r="17" spans="1:15" ht="21.95" customHeight="1" thickTop="1" x14ac:dyDescent="0.3">
      <c r="A17" s="73" t="s">
        <v>95</v>
      </c>
      <c r="B17" s="61">
        <f t="shared" ref="B17:H17" si="0">SUM(B4:B16)</f>
        <v>2925</v>
      </c>
      <c r="C17" s="61">
        <f t="shared" si="0"/>
        <v>1425</v>
      </c>
      <c r="D17" s="61">
        <f t="shared" si="0"/>
        <v>1000</v>
      </c>
      <c r="E17" s="61">
        <f t="shared" si="0"/>
        <v>600</v>
      </c>
      <c r="F17" s="468">
        <f t="shared" si="0"/>
        <v>950</v>
      </c>
      <c r="G17" s="468">
        <f>SUM(G4:G16)</f>
        <v>800</v>
      </c>
      <c r="H17" s="468">
        <f t="shared" si="0"/>
        <v>950</v>
      </c>
      <c r="I17" s="468">
        <f t="shared" ref="I17:N17" si="1">SUM(I4:I16)</f>
        <v>950</v>
      </c>
      <c r="J17" s="468">
        <f t="shared" si="1"/>
        <v>1100</v>
      </c>
      <c r="K17" s="468">
        <f t="shared" si="1"/>
        <v>1250</v>
      </c>
      <c r="L17" s="468">
        <f t="shared" si="1"/>
        <v>1250</v>
      </c>
      <c r="M17" s="468">
        <f t="shared" si="1"/>
        <v>1600</v>
      </c>
      <c r="N17" s="468">
        <f t="shared" si="1"/>
        <v>1750</v>
      </c>
      <c r="O17" s="468">
        <f t="shared" ref="O17" si="2">SUM(O4:O16)</f>
        <v>1600</v>
      </c>
    </row>
    <row r="18" spans="1:15" ht="18.75" customHeight="1" x14ac:dyDescent="0.3">
      <c r="A18" s="18"/>
      <c r="B18" s="18"/>
    </row>
    <row r="19" spans="1:15" ht="18.75" customHeight="1" x14ac:dyDescent="0.3">
      <c r="A19" s="18"/>
      <c r="B19" s="18"/>
    </row>
    <row r="20" spans="1:15" ht="18.75" customHeight="1" x14ac:dyDescent="0.3">
      <c r="A20" s="18"/>
      <c r="B20" s="18"/>
    </row>
    <row r="21" spans="1:15" ht="18.75" customHeight="1" x14ac:dyDescent="0.3">
      <c r="A21" s="18"/>
      <c r="B21" s="18"/>
    </row>
    <row r="22" spans="1:15" ht="18.75" customHeight="1" x14ac:dyDescent="0.3">
      <c r="A22" s="18"/>
      <c r="B22" s="18"/>
    </row>
    <row r="23" spans="1:15" ht="18.75" customHeight="1" x14ac:dyDescent="0.3">
      <c r="A23" s="18"/>
      <c r="B23" s="18"/>
    </row>
    <row r="24" spans="1:15" ht="18.75" customHeight="1" x14ac:dyDescent="0.3">
      <c r="A24" s="18"/>
      <c r="B24" s="18"/>
    </row>
    <row r="25" spans="1:15" ht="18.75" customHeight="1" x14ac:dyDescent="0.3">
      <c r="A25" s="18"/>
      <c r="B25" s="18"/>
    </row>
    <row r="26" spans="1:15" ht="18.75" customHeight="1" x14ac:dyDescent="0.3">
      <c r="A26" s="18"/>
      <c r="B26" s="18"/>
    </row>
    <row r="27" spans="1:15" ht="18.75" customHeight="1" x14ac:dyDescent="0.3">
      <c r="A27" s="18"/>
      <c r="B27" s="18"/>
    </row>
    <row r="28" spans="1:15" ht="18.75" customHeight="1" x14ac:dyDescent="0.3">
      <c r="A28" s="18"/>
      <c r="B28" s="18"/>
    </row>
    <row r="29" spans="1:15" ht="18.75" customHeight="1" x14ac:dyDescent="0.3">
      <c r="A29" s="18"/>
      <c r="B29" s="18"/>
    </row>
    <row r="30" spans="1:15" ht="18.75" customHeight="1" x14ac:dyDescent="0.3">
      <c r="A30" s="18"/>
      <c r="B30" s="18"/>
    </row>
    <row r="31" spans="1:15" ht="18.75" customHeight="1" x14ac:dyDescent="0.3">
      <c r="A31" s="18"/>
      <c r="B31" s="18"/>
    </row>
    <row r="32" spans="1:15" ht="18.75" customHeight="1" x14ac:dyDescent="0.3">
      <c r="A32" s="18"/>
      <c r="B32" s="18"/>
    </row>
    <row r="33" s="18" customFormat="1" ht="18.75" customHeight="1" x14ac:dyDescent="0.3"/>
  </sheetData>
  <sortState xmlns:xlrd2="http://schemas.microsoft.com/office/spreadsheetml/2017/richdata2" ref="A5:E13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12" width="0" style="1" hidden="1" customWidth="1"/>
    <col min="13" max="16384" width="9.140625" style="1"/>
  </cols>
  <sheetData>
    <row r="1" spans="1:15" s="2" customFormat="1" ht="18.75" customHeight="1" x14ac:dyDescent="0.25">
      <c r="A1" s="353" t="s">
        <v>390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.75" customHeight="1" x14ac:dyDescent="0.25">
      <c r="A2" s="5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s="2" customFormat="1" ht="18.75" customHeight="1" x14ac:dyDescent="0.25">
      <c r="A3" s="20" t="s">
        <v>97</v>
      </c>
      <c r="B3" s="23">
        <v>2010</v>
      </c>
      <c r="C3" s="23">
        <v>2013</v>
      </c>
      <c r="D3" s="23">
        <v>2014</v>
      </c>
      <c r="E3" s="23">
        <v>2015</v>
      </c>
      <c r="F3" s="23">
        <v>2016</v>
      </c>
      <c r="G3" s="23">
        <v>2017</v>
      </c>
      <c r="H3" s="23">
        <v>2018</v>
      </c>
      <c r="I3" s="23">
        <v>2019</v>
      </c>
      <c r="J3" s="23">
        <v>2020</v>
      </c>
      <c r="K3" s="23">
        <v>2021</v>
      </c>
      <c r="L3" s="23">
        <v>2022</v>
      </c>
      <c r="M3" s="23">
        <v>2023</v>
      </c>
      <c r="N3" s="23">
        <v>2024</v>
      </c>
      <c r="O3" s="23">
        <v>2025</v>
      </c>
    </row>
    <row r="4" spans="1:15" s="5" customFormat="1" ht="18.75" customHeight="1" x14ac:dyDescent="0.3">
      <c r="A4" s="556"/>
      <c r="B4" s="71"/>
      <c r="C4" s="71"/>
      <c r="D4" s="71"/>
      <c r="E4" s="71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18.75" customHeight="1" x14ac:dyDescent="0.3">
      <c r="A5" s="208" t="s">
        <v>283</v>
      </c>
      <c r="B5" s="32">
        <v>24000</v>
      </c>
      <c r="C5" s="32">
        <v>23253</v>
      </c>
      <c r="D5" s="32">
        <f>C5*1.05</f>
        <v>24415.65</v>
      </c>
      <c r="E5" s="32">
        <v>23800</v>
      </c>
      <c r="F5" s="401">
        <v>26180</v>
      </c>
      <c r="G5" s="401">
        <v>28798</v>
      </c>
      <c r="H5" s="401">
        <v>28500</v>
      </c>
      <c r="I5" s="401">
        <f>H5*1.07</f>
        <v>30495</v>
      </c>
      <c r="J5" s="401">
        <f>I5*1.07</f>
        <v>32629.65</v>
      </c>
      <c r="K5" s="401">
        <f>J5*1.07</f>
        <v>34913.7255</v>
      </c>
      <c r="L5" s="401">
        <f>K5*1.12</f>
        <v>39103.372560000003</v>
      </c>
      <c r="M5" s="401">
        <f>L5*1.12</f>
        <v>43795.777267200006</v>
      </c>
      <c r="N5" s="401">
        <f>M5*1.12</f>
        <v>49051.270539264013</v>
      </c>
      <c r="O5" s="401">
        <f>(N5*1.12)-20000</f>
        <v>34937.423003975702</v>
      </c>
    </row>
    <row r="6" spans="1:15" ht="18.75" customHeight="1" x14ac:dyDescent="0.3">
      <c r="A6" s="208" t="s">
        <v>282</v>
      </c>
      <c r="B6" s="32"/>
      <c r="C6" s="32"/>
      <c r="D6" s="32"/>
      <c r="E6" s="32"/>
      <c r="F6" s="401"/>
      <c r="G6" s="401"/>
      <c r="H6" s="401"/>
      <c r="I6" s="401"/>
      <c r="J6" s="401"/>
      <c r="K6" s="401"/>
      <c r="L6" s="401"/>
      <c r="M6" s="401"/>
      <c r="N6" s="401"/>
      <c r="O6" s="401"/>
    </row>
    <row r="7" spans="1:15" ht="18.75" customHeight="1" x14ac:dyDescent="0.3">
      <c r="A7" s="52"/>
      <c r="B7" s="32"/>
      <c r="C7" s="32"/>
      <c r="D7" s="32"/>
      <c r="E7" s="32"/>
      <c r="F7" s="401"/>
      <c r="G7" s="401"/>
      <c r="H7" s="401"/>
      <c r="I7" s="401"/>
      <c r="J7" s="401"/>
      <c r="K7" s="401"/>
      <c r="L7" s="401"/>
      <c r="M7" s="401"/>
      <c r="N7" s="401"/>
      <c r="O7" s="401"/>
    </row>
    <row r="8" spans="1:15" ht="18.75" customHeight="1" x14ac:dyDescent="0.3">
      <c r="A8" s="213"/>
      <c r="B8" s="32"/>
      <c r="C8" s="32"/>
      <c r="D8" s="32"/>
      <c r="E8" s="32"/>
      <c r="F8" s="401"/>
      <c r="G8" s="401"/>
      <c r="H8" s="401"/>
      <c r="I8" s="401"/>
      <c r="J8" s="401"/>
      <c r="K8" s="401"/>
      <c r="L8" s="401"/>
      <c r="M8" s="401"/>
      <c r="N8" s="401"/>
      <c r="O8" s="401"/>
    </row>
    <row r="9" spans="1:15" ht="18.75" customHeight="1" thickBot="1" x14ac:dyDescent="0.35">
      <c r="A9" s="52"/>
      <c r="B9" s="216">
        <v>-5480</v>
      </c>
      <c r="C9" s="33"/>
      <c r="D9" s="33"/>
      <c r="E9" s="33"/>
      <c r="F9" s="402"/>
      <c r="G9" s="402"/>
      <c r="H9" s="402"/>
      <c r="I9" s="402"/>
      <c r="J9" s="402"/>
      <c r="K9" s="402"/>
      <c r="L9" s="402"/>
      <c r="M9" s="402"/>
      <c r="N9" s="402"/>
      <c r="O9" s="402"/>
    </row>
    <row r="10" spans="1:15" s="2" customFormat="1" ht="18.75" customHeight="1" thickTop="1" x14ac:dyDescent="0.3">
      <c r="A10" s="142" t="s">
        <v>95</v>
      </c>
      <c r="B10" s="34">
        <f t="shared" ref="B10:O10" si="0">SUM(B4:B9)</f>
        <v>18520</v>
      </c>
      <c r="C10" s="34">
        <f t="shared" si="0"/>
        <v>23253</v>
      </c>
      <c r="D10" s="34">
        <f t="shared" si="0"/>
        <v>24415.65</v>
      </c>
      <c r="E10" s="34">
        <f t="shared" si="0"/>
        <v>23800</v>
      </c>
      <c r="F10" s="403">
        <f t="shared" si="0"/>
        <v>26180</v>
      </c>
      <c r="G10" s="403">
        <f t="shared" si="0"/>
        <v>28798</v>
      </c>
      <c r="H10" s="403">
        <f t="shared" si="0"/>
        <v>28500</v>
      </c>
      <c r="I10" s="403">
        <f t="shared" si="0"/>
        <v>30495</v>
      </c>
      <c r="J10" s="403">
        <f t="shared" si="0"/>
        <v>32629.65</v>
      </c>
      <c r="K10" s="403">
        <f t="shared" si="0"/>
        <v>34913.7255</v>
      </c>
      <c r="L10" s="403">
        <f t="shared" si="0"/>
        <v>39103.372560000003</v>
      </c>
      <c r="M10" s="403">
        <f t="shared" si="0"/>
        <v>43795.777267200006</v>
      </c>
      <c r="N10" s="403">
        <f t="shared" si="0"/>
        <v>49051.270539264013</v>
      </c>
      <c r="O10" s="403">
        <f t="shared" si="0"/>
        <v>34937.423003975702</v>
      </c>
    </row>
    <row r="11" spans="1:15" ht="18.75" customHeight="1" x14ac:dyDescent="0.25">
      <c r="A11" s="15"/>
      <c r="B11" s="17"/>
      <c r="C11" s="17"/>
    </row>
    <row r="12" spans="1:15" ht="18.75" customHeight="1" x14ac:dyDescent="0.25">
      <c r="A12" s="201"/>
      <c r="B12" s="17"/>
      <c r="C12" s="17"/>
    </row>
    <row r="13" spans="1:15" ht="18.75" customHeight="1" x14ac:dyDescent="0.3">
      <c r="A13" s="11"/>
      <c r="B13" s="17"/>
      <c r="C13" s="17"/>
    </row>
    <row r="14" spans="1:15" ht="18.75" customHeight="1" x14ac:dyDescent="0.3">
      <c r="A14" s="11"/>
      <c r="B14" s="17"/>
      <c r="C14" s="17"/>
    </row>
    <row r="15" spans="1:15" ht="18.75" customHeight="1" x14ac:dyDescent="0.25">
      <c r="A15" s="65"/>
      <c r="B15" s="17"/>
    </row>
    <row r="16" spans="1:15" ht="18.75" customHeight="1" x14ac:dyDescent="0.25">
      <c r="A16" s="65"/>
      <c r="B16" s="17"/>
    </row>
    <row r="17" spans="1:8" ht="18.75" customHeight="1" x14ac:dyDescent="0.25">
      <c r="A17" s="65"/>
    </row>
    <row r="18" spans="1:8" ht="18.75" customHeight="1" x14ac:dyDescent="0.3">
      <c r="A18" s="11"/>
    </row>
    <row r="19" spans="1:8" ht="18.75" customHeight="1" x14ac:dyDescent="0.3">
      <c r="B19" s="18"/>
      <c r="C19" s="18"/>
      <c r="D19" s="18"/>
      <c r="E19" s="18"/>
      <c r="F19" s="18"/>
      <c r="G19" s="18"/>
      <c r="H19" s="18"/>
    </row>
    <row r="20" spans="1:8" ht="18.75" customHeight="1" x14ac:dyDescent="0.3">
      <c r="A20" s="11"/>
      <c r="B20" s="18"/>
      <c r="C20" s="18"/>
      <c r="D20" s="18"/>
      <c r="E20" s="18"/>
      <c r="F20" s="18"/>
      <c r="G20" s="18"/>
      <c r="H20" s="18"/>
    </row>
    <row r="21" spans="1:8" ht="18.75" customHeight="1" x14ac:dyDescent="0.3">
      <c r="A21" s="11"/>
      <c r="B21" s="18"/>
      <c r="C21" s="18"/>
      <c r="D21" s="18"/>
      <c r="E21" s="18"/>
      <c r="F21" s="18"/>
      <c r="G21" s="18"/>
      <c r="H21" s="18"/>
    </row>
    <row r="22" spans="1:8" ht="18.75" customHeight="1" x14ac:dyDescent="0.3">
      <c r="A22" s="11"/>
      <c r="B22" s="18"/>
      <c r="C22" s="18"/>
      <c r="D22" s="18"/>
      <c r="E22" s="18"/>
      <c r="F22" s="18"/>
      <c r="G22" s="18"/>
      <c r="H22" s="18"/>
    </row>
    <row r="23" spans="1:8" ht="18.75" customHeight="1" x14ac:dyDescent="0.3">
      <c r="A23" s="11"/>
      <c r="B23" s="18"/>
      <c r="C23" s="18"/>
      <c r="D23" s="18"/>
      <c r="E23" s="18"/>
      <c r="F23" s="18"/>
      <c r="G23" s="18"/>
      <c r="H23" s="18"/>
    </row>
    <row r="24" spans="1:8" ht="18.75" customHeight="1" x14ac:dyDescent="0.3">
      <c r="A24" s="11"/>
      <c r="B24" s="18"/>
      <c r="C24" s="18"/>
      <c r="D24" s="18"/>
      <c r="E24" s="18"/>
      <c r="F24" s="18"/>
      <c r="G24" s="18"/>
      <c r="H24" s="18"/>
    </row>
    <row r="25" spans="1:8" ht="18.75" customHeight="1" x14ac:dyDescent="0.3">
      <c r="A25" s="11"/>
      <c r="B25" s="18"/>
      <c r="C25" s="18"/>
      <c r="D25" s="18"/>
      <c r="E25" s="18"/>
      <c r="F25" s="18"/>
      <c r="G25" s="18"/>
      <c r="H25" s="18"/>
    </row>
    <row r="26" spans="1:8" ht="18.75" customHeight="1" x14ac:dyDescent="0.3">
      <c r="A26" s="11"/>
      <c r="B26" s="18"/>
      <c r="C26" s="18"/>
      <c r="D26" s="18"/>
      <c r="E26" s="18"/>
      <c r="F26" s="18"/>
      <c r="G26" s="18"/>
      <c r="H26" s="18"/>
    </row>
    <row r="27" spans="1:8" ht="18.75" customHeight="1" x14ac:dyDescent="0.3">
      <c r="A27" s="11"/>
      <c r="B27" s="18"/>
      <c r="C27" s="18"/>
      <c r="D27" s="18"/>
      <c r="E27" s="18"/>
      <c r="F27" s="18"/>
      <c r="G27" s="18"/>
      <c r="H27" s="18"/>
    </row>
    <row r="28" spans="1:8" ht="18.75" customHeight="1" x14ac:dyDescent="0.3">
      <c r="A28" s="11"/>
      <c r="B28" s="18"/>
      <c r="C28" s="18"/>
      <c r="D28" s="18"/>
      <c r="E28" s="18"/>
      <c r="F28" s="18"/>
      <c r="G28" s="18"/>
      <c r="H28" s="18"/>
    </row>
    <row r="29" spans="1:8" ht="18.75" customHeight="1" x14ac:dyDescent="0.3">
      <c r="A29" s="11"/>
      <c r="B29" s="18"/>
      <c r="C29" s="18"/>
      <c r="D29" s="18"/>
      <c r="E29" s="18"/>
      <c r="F29" s="18"/>
      <c r="G29" s="18"/>
      <c r="H29" s="18"/>
    </row>
    <row r="30" spans="1:8" ht="18.75" customHeight="1" x14ac:dyDescent="0.3">
      <c r="A30" s="11"/>
      <c r="B30" s="18"/>
      <c r="C30" s="18"/>
      <c r="D30" s="18"/>
      <c r="E30" s="18"/>
      <c r="F30" s="18"/>
      <c r="G30" s="18"/>
      <c r="H30" s="18"/>
    </row>
    <row r="31" spans="1:8" ht="18.75" customHeight="1" x14ac:dyDescent="0.3">
      <c r="A31" s="11"/>
      <c r="B31" s="18"/>
      <c r="C31" s="18"/>
      <c r="D31" s="18"/>
      <c r="E31" s="18"/>
      <c r="F31" s="18"/>
      <c r="G31" s="18"/>
      <c r="H31" s="18"/>
    </row>
    <row r="32" spans="1:8" ht="18.75" customHeight="1" x14ac:dyDescent="0.3">
      <c r="A32" s="11"/>
      <c r="B32" s="18"/>
      <c r="C32" s="18"/>
      <c r="D32" s="18"/>
      <c r="E32" s="18"/>
      <c r="F32" s="18"/>
      <c r="G32" s="18"/>
      <c r="H32" s="18"/>
    </row>
    <row r="33" spans="1:8" ht="18.75" customHeight="1" x14ac:dyDescent="0.3">
      <c r="A33" s="11"/>
      <c r="B33" s="18"/>
      <c r="C33" s="18"/>
      <c r="D33" s="18"/>
      <c r="E33" s="18"/>
      <c r="F33" s="18"/>
      <c r="G33" s="18"/>
      <c r="H33" s="18"/>
    </row>
    <row r="34" spans="1:8" ht="18.75" customHeight="1" x14ac:dyDescent="0.3">
      <c r="A34" s="67"/>
      <c r="B34" s="18"/>
      <c r="C34" s="18"/>
      <c r="D34" s="18"/>
      <c r="E34" s="18"/>
      <c r="F34" s="18"/>
      <c r="G34" s="18"/>
      <c r="H34" s="18"/>
    </row>
    <row r="35" spans="1:8" ht="18.75" customHeight="1" x14ac:dyDescent="0.3">
      <c r="A35" s="67"/>
      <c r="B35" s="18"/>
      <c r="C35" s="18"/>
      <c r="D35" s="18"/>
      <c r="E35" s="18"/>
      <c r="F35" s="18"/>
      <c r="G35" s="18"/>
      <c r="H3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32"/>
  <sheetViews>
    <sheetView workbookViewId="0"/>
  </sheetViews>
  <sheetFormatPr defaultColWidth="9.140625" defaultRowHeight="18.75" customHeight="1" x14ac:dyDescent="0.3"/>
  <cols>
    <col min="1" max="1" width="32.5703125" style="67" bestFit="1" customWidth="1"/>
    <col min="2" max="8" width="10.7109375" style="18" hidden="1" customWidth="1"/>
    <col min="9" max="12" width="0" style="18" hidden="1" customWidth="1"/>
    <col min="13" max="16384" width="9.140625" style="18"/>
  </cols>
  <sheetData>
    <row r="1" spans="1:15" s="36" customFormat="1" ht="18.75" customHeight="1" x14ac:dyDescent="0.3">
      <c r="A1" s="167" t="s">
        <v>428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319"/>
      <c r="B4" s="188"/>
      <c r="C4" s="188"/>
      <c r="D4" s="188"/>
      <c r="E4" s="188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s="36" customFormat="1" ht="18.75" hidden="1" customHeight="1" x14ac:dyDescent="0.3">
      <c r="A5" s="47" t="s">
        <v>266</v>
      </c>
      <c r="B5" s="46">
        <v>400</v>
      </c>
      <c r="C5" s="46"/>
      <c r="D5" s="46"/>
      <c r="E5" s="46"/>
      <c r="F5" s="395"/>
      <c r="G5" s="395"/>
      <c r="H5" s="395"/>
      <c r="I5" s="395"/>
      <c r="J5" s="395"/>
      <c r="K5" s="395"/>
      <c r="L5" s="395"/>
      <c r="M5" s="395"/>
      <c r="N5" s="395"/>
      <c r="O5" s="395"/>
    </row>
    <row r="6" spans="1:15" ht="18.75" customHeight="1" x14ac:dyDescent="0.3">
      <c r="A6" s="47" t="s">
        <v>565</v>
      </c>
      <c r="B6" s="46">
        <v>400</v>
      </c>
      <c r="C6" s="46"/>
      <c r="D6" s="46">
        <v>1700</v>
      </c>
      <c r="E6" s="46">
        <v>4400</v>
      </c>
      <c r="F6" s="395">
        <v>5000</v>
      </c>
      <c r="G6" s="395">
        <f>2000*2</f>
        <v>4000</v>
      </c>
      <c r="H6" s="395">
        <f>2200*2</f>
        <v>4400</v>
      </c>
      <c r="I6" s="395">
        <f>2200*2</f>
        <v>4400</v>
      </c>
      <c r="J6" s="395">
        <f>2050+2050</f>
        <v>4100</v>
      </c>
      <c r="K6" s="395">
        <f>2050+2050</f>
        <v>4100</v>
      </c>
      <c r="L6" s="395">
        <f>2050+2050</f>
        <v>4100</v>
      </c>
      <c r="M6" s="395">
        <f>2250+2250</f>
        <v>4500</v>
      </c>
      <c r="N6" s="395">
        <f>3000+3000</f>
        <v>6000</v>
      </c>
      <c r="O6" s="395">
        <f>3000+3000</f>
        <v>6000</v>
      </c>
    </row>
    <row r="7" spans="1:15" s="36" customFormat="1" ht="18.75" customHeight="1" x14ac:dyDescent="0.3">
      <c r="A7" s="47" t="s">
        <v>152</v>
      </c>
      <c r="B7" s="32">
        <v>600</v>
      </c>
      <c r="C7" s="32">
        <v>400</v>
      </c>
      <c r="D7" s="32">
        <v>500</v>
      </c>
      <c r="E7" s="32">
        <v>500</v>
      </c>
      <c r="F7" s="401">
        <v>800</v>
      </c>
      <c r="G7" s="401">
        <v>1000</v>
      </c>
      <c r="H7" s="401">
        <v>1000</v>
      </c>
      <c r="I7" s="401">
        <v>1000</v>
      </c>
      <c r="J7" s="401">
        <v>1200</v>
      </c>
      <c r="K7" s="401">
        <v>1200</v>
      </c>
      <c r="L7" s="401">
        <v>1200</v>
      </c>
      <c r="M7" s="401">
        <v>1500</v>
      </c>
      <c r="N7" s="401">
        <v>2500</v>
      </c>
      <c r="O7" s="401">
        <v>3000</v>
      </c>
    </row>
    <row r="8" spans="1:15" ht="16.5" customHeight="1" x14ac:dyDescent="0.3">
      <c r="A8" s="47" t="s">
        <v>431</v>
      </c>
      <c r="B8" s="32">
        <v>1000</v>
      </c>
      <c r="C8" s="32">
        <v>500</v>
      </c>
      <c r="D8" s="32">
        <v>600</v>
      </c>
      <c r="E8" s="32">
        <v>600</v>
      </c>
      <c r="F8" s="401">
        <v>1000</v>
      </c>
      <c r="G8" s="401">
        <v>1500</v>
      </c>
      <c r="H8" s="401">
        <v>2100</v>
      </c>
      <c r="I8" s="401">
        <v>1800</v>
      </c>
      <c r="J8" s="401">
        <f>850+800+220+800+780</f>
        <v>3450</v>
      </c>
      <c r="K8" s="401">
        <f>850+800+220+800+780</f>
        <v>3450</v>
      </c>
      <c r="L8" s="401">
        <f>850+800+220+800+780</f>
        <v>3450</v>
      </c>
      <c r="M8" s="401">
        <f>850+800+220+800+780+550</f>
        <v>4000</v>
      </c>
      <c r="N8" s="401">
        <v>5000</v>
      </c>
      <c r="O8" s="401">
        <v>6500</v>
      </c>
    </row>
    <row r="9" spans="1:15" ht="16.5" x14ac:dyDescent="0.3">
      <c r="A9" s="47" t="s">
        <v>82</v>
      </c>
      <c r="B9" s="32"/>
      <c r="C9" s="32">
        <v>100</v>
      </c>
      <c r="D9" s="32">
        <v>100</v>
      </c>
      <c r="E9" s="32">
        <v>100</v>
      </c>
      <c r="F9" s="401">
        <v>100</v>
      </c>
      <c r="G9" s="401">
        <v>200</v>
      </c>
      <c r="H9" s="401">
        <v>200</v>
      </c>
      <c r="I9" s="401">
        <v>200</v>
      </c>
      <c r="J9" s="401">
        <v>250</v>
      </c>
      <c r="K9" s="401">
        <v>250</v>
      </c>
      <c r="L9" s="401">
        <v>250</v>
      </c>
      <c r="M9" s="401">
        <v>300</v>
      </c>
      <c r="N9" s="401">
        <v>750</v>
      </c>
      <c r="O9" s="401">
        <v>750</v>
      </c>
    </row>
    <row r="10" spans="1:15" ht="16.5" x14ac:dyDescent="0.3">
      <c r="A10" s="47" t="s">
        <v>457</v>
      </c>
      <c r="B10" s="46"/>
      <c r="C10" s="46"/>
      <c r="D10" s="46"/>
      <c r="E10" s="46"/>
      <c r="F10" s="395">
        <v>2000</v>
      </c>
      <c r="G10" s="395">
        <v>2500</v>
      </c>
      <c r="H10" s="395">
        <v>3000</v>
      </c>
      <c r="I10" s="395">
        <v>3200</v>
      </c>
      <c r="J10" s="395">
        <f>350+900+900+800+2500</f>
        <v>5450</v>
      </c>
      <c r="K10" s="395">
        <f>350+900+900+800+2500</f>
        <v>5450</v>
      </c>
      <c r="L10" s="395">
        <f>350+900+900+800+2500</f>
        <v>5450</v>
      </c>
      <c r="M10" s="395">
        <f>350+900+900+800+2500+550</f>
        <v>6000</v>
      </c>
      <c r="N10" s="395">
        <v>8000</v>
      </c>
      <c r="O10" s="395">
        <v>9000</v>
      </c>
    </row>
    <row r="11" spans="1:15" ht="16.5" hidden="1" customHeight="1" x14ac:dyDescent="0.3">
      <c r="A11" s="47" t="s">
        <v>458</v>
      </c>
      <c r="B11" s="77"/>
      <c r="C11" s="77"/>
      <c r="D11" s="77"/>
      <c r="E11" s="77"/>
      <c r="F11" s="464">
        <v>2000</v>
      </c>
      <c r="G11" s="464">
        <v>2000</v>
      </c>
      <c r="H11" s="464">
        <v>2000</v>
      </c>
      <c r="I11" s="464">
        <v>2000</v>
      </c>
      <c r="J11" s="464">
        <v>0</v>
      </c>
      <c r="K11" s="464">
        <v>0</v>
      </c>
      <c r="L11" s="464">
        <v>0</v>
      </c>
      <c r="M11" s="464">
        <v>0</v>
      </c>
      <c r="N11" s="464">
        <v>0</v>
      </c>
      <c r="O11" s="464">
        <v>0</v>
      </c>
    </row>
    <row r="12" spans="1:15" ht="16.5" hidden="1" customHeight="1" x14ac:dyDescent="0.3">
      <c r="A12" s="47" t="s">
        <v>513</v>
      </c>
      <c r="B12" s="77"/>
      <c r="C12" s="77"/>
      <c r="D12" s="77"/>
      <c r="E12" s="77"/>
      <c r="F12" s="464">
        <v>0</v>
      </c>
      <c r="G12" s="464">
        <v>0</v>
      </c>
      <c r="H12" s="464">
        <v>3000</v>
      </c>
      <c r="I12" s="464">
        <v>0</v>
      </c>
      <c r="J12" s="464">
        <v>0</v>
      </c>
      <c r="K12" s="464">
        <v>0</v>
      </c>
      <c r="L12" s="464">
        <v>0</v>
      </c>
      <c r="M12" s="464">
        <v>0</v>
      </c>
      <c r="N12" s="464">
        <v>0</v>
      </c>
      <c r="O12" s="464">
        <v>0</v>
      </c>
    </row>
    <row r="13" spans="1:15" ht="16.5" hidden="1" customHeight="1" x14ac:dyDescent="0.3">
      <c r="A13" s="47" t="s">
        <v>546</v>
      </c>
      <c r="B13" s="77"/>
      <c r="C13" s="77"/>
      <c r="D13" s="77"/>
      <c r="E13" s="77"/>
      <c r="F13" s="464"/>
      <c r="G13" s="464"/>
      <c r="H13" s="464">
        <v>0</v>
      </c>
      <c r="I13" s="464">
        <v>18000</v>
      </c>
      <c r="J13" s="464">
        <v>0</v>
      </c>
      <c r="K13" s="464">
        <v>0</v>
      </c>
      <c r="L13" s="464">
        <v>0</v>
      </c>
      <c r="M13" s="464">
        <v>0</v>
      </c>
      <c r="N13" s="464">
        <v>0</v>
      </c>
      <c r="O13" s="464">
        <v>0</v>
      </c>
    </row>
    <row r="14" spans="1:15" ht="16.5" customHeight="1" x14ac:dyDescent="0.3">
      <c r="A14" s="47" t="s">
        <v>598</v>
      </c>
      <c r="B14" s="77"/>
      <c r="C14" s="77"/>
      <c r="D14" s="77"/>
      <c r="E14" s="77"/>
      <c r="F14" s="464"/>
      <c r="G14" s="464"/>
      <c r="H14" s="464"/>
      <c r="I14" s="464"/>
      <c r="J14" s="464">
        <f>((175*3)+(5000*0.5)+(5000*0.18))*2</f>
        <v>7850</v>
      </c>
      <c r="K14" s="464">
        <v>8000</v>
      </c>
      <c r="L14" s="464">
        <v>8000</v>
      </c>
      <c r="M14" s="464">
        <v>8500</v>
      </c>
      <c r="N14" s="464">
        <v>10000</v>
      </c>
      <c r="O14" s="464">
        <v>10000</v>
      </c>
    </row>
    <row r="15" spans="1:15" ht="16.5" customHeight="1" x14ac:dyDescent="0.3">
      <c r="A15" s="47"/>
      <c r="B15" s="77">
        <v>-1000</v>
      </c>
      <c r="C15" s="77"/>
      <c r="D15" s="77"/>
      <c r="E15" s="77"/>
      <c r="F15" s="464"/>
      <c r="G15" s="464"/>
      <c r="H15" s="464"/>
      <c r="I15" s="464"/>
      <c r="J15" s="464"/>
      <c r="K15" s="464"/>
      <c r="L15" s="464"/>
      <c r="M15" s="464"/>
      <c r="N15" s="464"/>
      <c r="O15" s="464"/>
    </row>
    <row r="16" spans="1:15" ht="18.75" customHeight="1" x14ac:dyDescent="0.3">
      <c r="A16" s="170" t="s">
        <v>95</v>
      </c>
      <c r="B16" s="320">
        <f t="shared" ref="B16:H16" si="0">SUM(B5:B15)</f>
        <v>1400</v>
      </c>
      <c r="C16" s="320">
        <f t="shared" si="0"/>
        <v>1000</v>
      </c>
      <c r="D16" s="320">
        <f t="shared" si="0"/>
        <v>2900</v>
      </c>
      <c r="E16" s="320">
        <f t="shared" si="0"/>
        <v>5600</v>
      </c>
      <c r="F16" s="487">
        <f t="shared" si="0"/>
        <v>10900</v>
      </c>
      <c r="G16" s="487">
        <f>SUM(G5:G15)</f>
        <v>11200</v>
      </c>
      <c r="H16" s="487">
        <f t="shared" si="0"/>
        <v>15700</v>
      </c>
      <c r="I16" s="487">
        <f t="shared" ref="I16:N16" si="1">SUM(I5:I15)</f>
        <v>30600</v>
      </c>
      <c r="J16" s="487">
        <f t="shared" si="1"/>
        <v>22300</v>
      </c>
      <c r="K16" s="487">
        <f t="shared" si="1"/>
        <v>22450</v>
      </c>
      <c r="L16" s="487">
        <f t="shared" si="1"/>
        <v>22450</v>
      </c>
      <c r="M16" s="487">
        <f t="shared" si="1"/>
        <v>24800</v>
      </c>
      <c r="N16" s="487">
        <f t="shared" si="1"/>
        <v>32250</v>
      </c>
      <c r="O16" s="487">
        <f t="shared" ref="O16" si="2">SUM(O5:O15)</f>
        <v>35250</v>
      </c>
    </row>
    <row r="17" spans="1:14" ht="18.75" customHeight="1" x14ac:dyDescent="0.3">
      <c r="A17" s="18"/>
    </row>
    <row r="18" spans="1:14" ht="18.75" customHeight="1" x14ac:dyDescent="0.3">
      <c r="A18" s="18"/>
      <c r="N18" s="416"/>
    </row>
    <row r="19" spans="1:14" ht="18.75" customHeight="1" x14ac:dyDescent="0.3">
      <c r="A19" s="18"/>
    </row>
    <row r="20" spans="1:14" ht="18.75" customHeight="1" x14ac:dyDescent="0.3">
      <c r="A20" s="18"/>
    </row>
    <row r="21" spans="1:14" ht="18.75" customHeight="1" x14ac:dyDescent="0.3">
      <c r="A21" s="18"/>
    </row>
    <row r="22" spans="1:14" ht="18.75" customHeight="1" x14ac:dyDescent="0.3">
      <c r="A22" s="18"/>
    </row>
    <row r="23" spans="1:14" ht="18.75" customHeight="1" x14ac:dyDescent="0.3">
      <c r="A23" s="18"/>
    </row>
    <row r="24" spans="1:14" ht="18.75" customHeight="1" x14ac:dyDescent="0.3">
      <c r="A24" s="18"/>
    </row>
    <row r="25" spans="1:14" ht="18.75" customHeight="1" x14ac:dyDescent="0.3">
      <c r="A25" s="18"/>
    </row>
    <row r="26" spans="1:14" ht="18.75" customHeight="1" x14ac:dyDescent="0.3">
      <c r="A26" s="18"/>
    </row>
    <row r="27" spans="1:14" ht="18.75" customHeight="1" x14ac:dyDescent="0.3">
      <c r="A27" s="18"/>
    </row>
    <row r="28" spans="1:14" ht="18.75" customHeight="1" x14ac:dyDescent="0.3">
      <c r="A28" s="18"/>
    </row>
    <row r="29" spans="1:14" ht="18.75" customHeight="1" x14ac:dyDescent="0.3">
      <c r="A29" s="18"/>
    </row>
    <row r="30" spans="1:14" ht="18.75" customHeight="1" x14ac:dyDescent="0.3">
      <c r="A30" s="18"/>
    </row>
    <row r="31" spans="1:14" ht="18.75" customHeight="1" x14ac:dyDescent="0.3">
      <c r="A31" s="18"/>
    </row>
    <row r="32" spans="1:14" ht="18.75" customHeight="1" x14ac:dyDescent="0.3">
      <c r="A32" s="18"/>
    </row>
  </sheetData>
  <sortState xmlns:xlrd2="http://schemas.microsoft.com/office/spreadsheetml/2017/richdata2" ref="A5:E10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45" bestFit="1" customWidth="1"/>
    <col min="2" max="3" width="9.28515625" style="17" hidden="1" customWidth="1"/>
    <col min="4" max="4" width="0" style="17" hidden="1" customWidth="1"/>
    <col min="5" max="5" width="8.85546875" style="17" hidden="1" customWidth="1"/>
    <col min="6" max="7" width="9.5703125" style="17" hidden="1" customWidth="1"/>
    <col min="8" max="8" width="9.28515625" style="17" hidden="1" customWidth="1"/>
    <col min="9" max="9" width="11.28515625" style="17" hidden="1" customWidth="1"/>
    <col min="10" max="12" width="11" style="17" hidden="1" customWidth="1"/>
    <col min="13" max="14" width="11" style="17" customWidth="1"/>
    <col min="15" max="15" width="11" style="17" bestFit="1" customWidth="1"/>
    <col min="16" max="16384" width="9.140625" style="17"/>
  </cols>
  <sheetData>
    <row r="1" spans="1:16" s="63" customFormat="1" ht="18.75" customHeight="1" x14ac:dyDescent="0.25">
      <c r="A1" s="352" t="s">
        <v>162</v>
      </c>
      <c r="B1" s="160"/>
      <c r="C1" s="160"/>
      <c r="D1" s="62"/>
      <c r="E1" s="344"/>
      <c r="F1" s="344"/>
      <c r="G1" s="160"/>
      <c r="H1" s="160"/>
      <c r="I1" s="160"/>
      <c r="J1" s="160"/>
      <c r="K1" s="160"/>
      <c r="L1" s="160"/>
      <c r="M1" s="160"/>
      <c r="N1" s="160"/>
      <c r="O1" s="160"/>
      <c r="P1" s="161"/>
    </row>
    <row r="2" spans="1:16" ht="18.75" customHeight="1" x14ac:dyDescent="0.3">
      <c r="A2" s="92"/>
      <c r="B2" s="51"/>
      <c r="C2" s="51"/>
      <c r="D2" s="41"/>
      <c r="E2" s="345"/>
      <c r="F2" s="345"/>
      <c r="G2" s="51"/>
      <c r="H2" s="51"/>
      <c r="I2" s="51"/>
      <c r="J2" s="51"/>
      <c r="K2" s="51"/>
      <c r="L2" s="51"/>
      <c r="M2" s="51"/>
      <c r="N2" s="51"/>
      <c r="O2" s="51"/>
      <c r="P2" s="162"/>
    </row>
    <row r="3" spans="1:16" s="63" customFormat="1" ht="18.75" customHeight="1" x14ac:dyDescent="0.3">
      <c r="A3" s="27" t="s">
        <v>97</v>
      </c>
      <c r="B3" s="23">
        <v>2010</v>
      </c>
      <c r="C3" s="23">
        <v>2013</v>
      </c>
      <c r="D3" s="346">
        <v>2014</v>
      </c>
      <c r="E3" s="346">
        <v>2015</v>
      </c>
      <c r="F3" s="346">
        <v>2016</v>
      </c>
      <c r="G3" s="346">
        <v>2017</v>
      </c>
      <c r="H3" s="20">
        <v>2018</v>
      </c>
      <c r="I3" s="20">
        <v>2019</v>
      </c>
      <c r="J3" s="20">
        <v>2020</v>
      </c>
      <c r="K3" s="20">
        <v>2021</v>
      </c>
      <c r="L3" s="20">
        <v>2022</v>
      </c>
      <c r="M3" s="20">
        <v>2023</v>
      </c>
      <c r="N3" s="20">
        <v>2024</v>
      </c>
      <c r="O3" s="650">
        <v>2025</v>
      </c>
      <c r="P3" s="651"/>
    </row>
    <row r="4" spans="1:16" s="63" customFormat="1" ht="16.5" x14ac:dyDescent="0.3">
      <c r="A4" s="97"/>
      <c r="B4" s="41"/>
      <c r="C4" s="41"/>
      <c r="D4" s="345"/>
      <c r="E4" s="345"/>
      <c r="F4" s="345"/>
      <c r="G4" s="51"/>
      <c r="H4" s="51"/>
      <c r="I4" s="51"/>
      <c r="J4" s="51"/>
      <c r="K4" s="51"/>
      <c r="L4" s="51"/>
      <c r="M4" s="51"/>
      <c r="N4" s="51"/>
      <c r="O4" s="51"/>
      <c r="P4" s="162"/>
    </row>
    <row r="5" spans="1:16" s="63" customFormat="1" ht="37.5" x14ac:dyDescent="0.45">
      <c r="A5" s="27"/>
      <c r="B5" s="405" t="s">
        <v>280</v>
      </c>
      <c r="C5" s="405" t="s">
        <v>280</v>
      </c>
      <c r="D5" s="406" t="s">
        <v>280</v>
      </c>
      <c r="E5" s="406" t="s">
        <v>280</v>
      </c>
      <c r="F5" s="406" t="s">
        <v>280</v>
      </c>
      <c r="G5" s="406" t="s">
        <v>280</v>
      </c>
      <c r="H5" s="406" t="s">
        <v>280</v>
      </c>
      <c r="I5" s="406" t="s">
        <v>280</v>
      </c>
      <c r="J5" s="406" t="s">
        <v>280</v>
      </c>
      <c r="K5" s="406" t="s">
        <v>280</v>
      </c>
      <c r="L5" s="406" t="s">
        <v>280</v>
      </c>
      <c r="M5" s="406" t="s">
        <v>280</v>
      </c>
      <c r="N5" s="406" t="s">
        <v>280</v>
      </c>
      <c r="O5" s="407" t="s">
        <v>169</v>
      </c>
      <c r="P5" s="408" t="s">
        <v>170</v>
      </c>
    </row>
    <row r="6" spans="1:16" s="63" customFormat="1" ht="18.75" customHeight="1" x14ac:dyDescent="0.3">
      <c r="A6" s="28"/>
      <c r="B6" s="32"/>
      <c r="C6" s="32"/>
      <c r="D6" s="409"/>
      <c r="E6" s="409"/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2"/>
    </row>
    <row r="7" spans="1:16" s="63" customFormat="1" ht="18.75" hidden="1" customHeight="1" x14ac:dyDescent="0.3">
      <c r="A7" s="29"/>
      <c r="B7" s="32"/>
      <c r="C7" s="32"/>
      <c r="D7" s="409"/>
      <c r="E7" s="409"/>
      <c r="F7" s="410"/>
      <c r="G7" s="411"/>
      <c r="H7" s="411"/>
      <c r="I7" s="411"/>
      <c r="J7" s="411"/>
      <c r="K7" s="411"/>
      <c r="L7" s="411"/>
      <c r="M7" s="411"/>
      <c r="N7" s="411"/>
      <c r="O7" s="411"/>
      <c r="P7" s="412"/>
    </row>
    <row r="8" spans="1:16" s="63" customFormat="1" ht="18.75" hidden="1" customHeight="1" x14ac:dyDescent="0.3">
      <c r="A8" s="28" t="s">
        <v>50</v>
      </c>
      <c r="B8" s="32">
        <v>90983.05</v>
      </c>
      <c r="C8" s="409">
        <f>75858.38+15124.67</f>
        <v>90983.05</v>
      </c>
      <c r="D8" s="409">
        <v>90982</v>
      </c>
      <c r="E8" s="409">
        <v>90982</v>
      </c>
      <c r="F8" s="410">
        <f>86940+4043</f>
        <v>90983</v>
      </c>
      <c r="G8" s="413"/>
      <c r="H8" s="413"/>
      <c r="I8" s="413"/>
      <c r="J8" s="413"/>
      <c r="K8" s="413"/>
      <c r="L8" s="413"/>
      <c r="M8" s="413"/>
      <c r="N8" s="413"/>
      <c r="O8" s="413"/>
      <c r="P8" s="414"/>
    </row>
    <row r="9" spans="1:16" s="63" customFormat="1" ht="18.75" hidden="1" customHeight="1" x14ac:dyDescent="0.3">
      <c r="A9" s="42" t="s">
        <v>243</v>
      </c>
      <c r="B9" s="46">
        <v>40462.18</v>
      </c>
      <c r="C9" s="415">
        <f>24672.6+15244.87</f>
        <v>39917.47</v>
      </c>
      <c r="D9" s="46">
        <v>39917</v>
      </c>
      <c r="E9" s="46">
        <f>26307+13610</f>
        <v>39917</v>
      </c>
      <c r="F9" s="416">
        <f>27130+12787</f>
        <v>39917</v>
      </c>
      <c r="G9" s="417"/>
      <c r="H9" s="417"/>
      <c r="I9" s="417"/>
      <c r="J9" s="417"/>
      <c r="K9" s="417"/>
      <c r="L9" s="417"/>
      <c r="M9" s="417"/>
      <c r="N9" s="417"/>
      <c r="O9" s="417"/>
      <c r="P9" s="418"/>
    </row>
    <row r="10" spans="1:16" ht="18.75" hidden="1" customHeight="1" x14ac:dyDescent="0.3">
      <c r="A10" s="28" t="s">
        <v>432</v>
      </c>
      <c r="B10" s="46"/>
      <c r="C10" s="415">
        <f>3979.9+340.1</f>
        <v>4320</v>
      </c>
      <c r="D10" s="415">
        <v>2521</v>
      </c>
      <c r="E10" s="657" t="s">
        <v>373</v>
      </c>
      <c r="F10" s="419"/>
      <c r="G10" s="419"/>
      <c r="H10" s="410" t="s">
        <v>373</v>
      </c>
      <c r="I10" s="410" t="s">
        <v>373</v>
      </c>
      <c r="J10" s="410" t="s">
        <v>373</v>
      </c>
      <c r="K10" s="410" t="s">
        <v>373</v>
      </c>
      <c r="L10" s="410" t="s">
        <v>373</v>
      </c>
      <c r="M10" s="410"/>
      <c r="N10" s="410"/>
      <c r="O10" s="652" t="s">
        <v>373</v>
      </c>
      <c r="P10" s="653"/>
    </row>
    <row r="11" spans="1:16" ht="18.75" hidden="1" customHeight="1" x14ac:dyDescent="0.3">
      <c r="A11" s="28"/>
      <c r="B11" s="46"/>
      <c r="C11" s="415"/>
      <c r="D11" s="46"/>
      <c r="E11" s="658"/>
      <c r="F11" s="420"/>
      <c r="G11" s="421"/>
      <c r="H11" s="421"/>
      <c r="I11" s="421"/>
      <c r="J11" s="421"/>
      <c r="K11" s="421"/>
      <c r="L11" s="421"/>
      <c r="M11" s="421"/>
      <c r="N11" s="421"/>
      <c r="O11" s="421"/>
      <c r="P11" s="422"/>
    </row>
    <row r="12" spans="1:16" ht="18.75" customHeight="1" x14ac:dyDescent="0.3">
      <c r="A12" s="28" t="s">
        <v>616</v>
      </c>
      <c r="B12" s="46"/>
      <c r="C12" s="415"/>
      <c r="D12" s="423">
        <f>(110000*2)+70000</f>
        <v>290000</v>
      </c>
      <c r="E12" s="423"/>
      <c r="F12" s="421">
        <v>775000</v>
      </c>
      <c r="G12" s="421">
        <v>695000</v>
      </c>
      <c r="H12" s="421">
        <v>0</v>
      </c>
      <c r="I12" s="421">
        <v>0</v>
      </c>
      <c r="J12" s="421">
        <f>120000</f>
        <v>120000</v>
      </c>
      <c r="K12" s="421"/>
      <c r="L12" s="421"/>
      <c r="M12" s="421"/>
      <c r="N12" s="421"/>
      <c r="O12" s="421"/>
      <c r="P12" s="422"/>
    </row>
    <row r="13" spans="1:16" ht="18.75" hidden="1" customHeight="1" x14ac:dyDescent="0.3">
      <c r="A13" s="306" t="s">
        <v>694</v>
      </c>
      <c r="B13" s="424"/>
      <c r="C13" s="425"/>
      <c r="D13" s="425"/>
      <c r="E13" s="425"/>
      <c r="F13" s="426"/>
      <c r="G13" s="636"/>
      <c r="H13" s="636"/>
      <c r="I13" s="636"/>
      <c r="J13" s="636"/>
      <c r="K13" s="636">
        <f>1423026</f>
        <v>1423026</v>
      </c>
      <c r="L13" s="636">
        <v>0</v>
      </c>
      <c r="M13" s="636">
        <v>0</v>
      </c>
      <c r="N13" s="636">
        <v>0</v>
      </c>
      <c r="O13" s="636">
        <v>0</v>
      </c>
      <c r="P13" s="637">
        <v>0</v>
      </c>
    </row>
    <row r="14" spans="1:16" ht="18.75" customHeight="1" x14ac:dyDescent="0.3">
      <c r="A14" s="306" t="s">
        <v>697</v>
      </c>
      <c r="B14" s="424"/>
      <c r="C14" s="425"/>
      <c r="D14" s="425"/>
      <c r="E14" s="425"/>
      <c r="F14" s="426"/>
      <c r="G14" s="636"/>
      <c r="H14" s="636"/>
      <c r="I14" s="636"/>
      <c r="J14" s="636"/>
      <c r="K14" s="636"/>
      <c r="L14" s="636"/>
      <c r="M14" s="636">
        <v>16000</v>
      </c>
      <c r="N14" s="636">
        <v>0</v>
      </c>
      <c r="O14" s="636">
        <v>0</v>
      </c>
      <c r="P14" s="637">
        <v>0</v>
      </c>
    </row>
    <row r="15" spans="1:16" ht="18.75" customHeight="1" x14ac:dyDescent="0.3">
      <c r="A15" s="306" t="s">
        <v>695</v>
      </c>
      <c r="B15" s="424"/>
      <c r="C15" s="425"/>
      <c r="D15" s="425"/>
      <c r="E15" s="425"/>
      <c r="F15" s="426"/>
      <c r="G15" s="636"/>
      <c r="H15" s="636"/>
      <c r="I15" s="636"/>
      <c r="J15" s="636"/>
      <c r="K15" s="636"/>
      <c r="L15" s="636"/>
      <c r="M15" s="636">
        <v>38000</v>
      </c>
      <c r="N15" s="636">
        <v>0</v>
      </c>
      <c r="O15" s="636">
        <v>0</v>
      </c>
      <c r="P15" s="637">
        <v>0</v>
      </c>
    </row>
    <row r="16" spans="1:16" ht="18.75" customHeight="1" x14ac:dyDescent="0.3">
      <c r="A16" s="306" t="s">
        <v>754</v>
      </c>
      <c r="B16" s="424"/>
      <c r="C16" s="425"/>
      <c r="D16" s="425"/>
      <c r="E16" s="425"/>
      <c r="F16" s="426"/>
      <c r="G16" s="636"/>
      <c r="H16" s="636"/>
      <c r="I16" s="636"/>
      <c r="J16" s="636"/>
      <c r="K16" s="636"/>
      <c r="L16" s="636"/>
      <c r="M16" s="636"/>
      <c r="N16" s="636"/>
      <c r="O16" s="636">
        <v>20000</v>
      </c>
      <c r="P16" s="637"/>
    </row>
    <row r="17" spans="1:16" ht="18.75" customHeight="1" x14ac:dyDescent="0.3">
      <c r="A17" s="306" t="s">
        <v>755</v>
      </c>
      <c r="B17" s="424"/>
      <c r="C17" s="425"/>
      <c r="D17" s="425"/>
      <c r="E17" s="425"/>
      <c r="F17" s="426"/>
      <c r="G17" s="636"/>
      <c r="H17" s="636"/>
      <c r="I17" s="636"/>
      <c r="J17" s="636"/>
      <c r="K17" s="636"/>
      <c r="L17" s="636"/>
      <c r="M17" s="636"/>
      <c r="N17" s="636"/>
      <c r="O17" s="636">
        <v>15000</v>
      </c>
      <c r="P17" s="637"/>
    </row>
    <row r="18" spans="1:16" ht="18.75" customHeight="1" thickBot="1" x14ac:dyDescent="0.35">
      <c r="A18" s="306"/>
      <c r="B18" s="424">
        <v>1800</v>
      </c>
      <c r="C18" s="425"/>
      <c r="D18" s="425"/>
      <c r="E18" s="425"/>
      <c r="F18" s="426"/>
      <c r="G18" s="427"/>
      <c r="H18" s="427"/>
      <c r="I18" s="427"/>
      <c r="J18" s="427"/>
      <c r="K18" s="427"/>
      <c r="L18" s="427"/>
      <c r="M18" s="427"/>
      <c r="N18" s="427"/>
      <c r="O18" s="427"/>
      <c r="P18" s="428"/>
    </row>
    <row r="19" spans="1:16" s="63" customFormat="1" ht="17.25" thickTop="1" x14ac:dyDescent="0.3">
      <c r="A19" s="60" t="s">
        <v>95</v>
      </c>
      <c r="B19" s="61">
        <f>SUM(B6:B18)</f>
        <v>133245.23000000001</v>
      </c>
      <c r="C19" s="61">
        <f>SUM(C6:C18)</f>
        <v>135220.52000000002</v>
      </c>
      <c r="D19" s="61">
        <f>SUM(D6:D18)</f>
        <v>423420</v>
      </c>
      <c r="E19" s="429">
        <f>SUM(E6:E18)</f>
        <v>130899</v>
      </c>
      <c r="F19" s="430">
        <f>SUM(F8:F12)</f>
        <v>905900</v>
      </c>
      <c r="G19" s="431">
        <f t="shared" ref="G19:P19" si="0">SUM(G6:G18)</f>
        <v>695000</v>
      </c>
      <c r="H19" s="431">
        <f t="shared" si="0"/>
        <v>0</v>
      </c>
      <c r="I19" s="431">
        <f t="shared" si="0"/>
        <v>0</v>
      </c>
      <c r="J19" s="431">
        <f t="shared" si="0"/>
        <v>120000</v>
      </c>
      <c r="K19" s="431">
        <f t="shared" si="0"/>
        <v>1423026</v>
      </c>
      <c r="L19" s="431">
        <f>SUM(L6:L18)</f>
        <v>0</v>
      </c>
      <c r="M19" s="431">
        <f>SUM(M6:M18)</f>
        <v>54000</v>
      </c>
      <c r="N19" s="431"/>
      <c r="O19" s="431">
        <f t="shared" si="0"/>
        <v>35000</v>
      </c>
      <c r="P19" s="432">
        <f t="shared" si="0"/>
        <v>0</v>
      </c>
    </row>
    <row r="20" spans="1:16" ht="32.25" customHeight="1" x14ac:dyDescent="0.3">
      <c r="A20" s="67"/>
      <c r="F20" s="404"/>
      <c r="G20" s="404"/>
      <c r="H20" s="585"/>
      <c r="I20" s="585"/>
      <c r="J20" s="602"/>
      <c r="K20" s="585"/>
      <c r="L20" s="585"/>
      <c r="M20" s="585"/>
      <c r="N20" s="585"/>
      <c r="O20" s="654" t="s">
        <v>317</v>
      </c>
      <c r="P20" s="654"/>
    </row>
    <row r="21" spans="1:16" ht="18.75" customHeight="1" x14ac:dyDescent="0.25">
      <c r="F21" s="404"/>
      <c r="G21" s="404"/>
      <c r="H21" s="586"/>
      <c r="I21" s="586"/>
      <c r="K21" s="586"/>
      <c r="L21" s="586"/>
      <c r="M21" s="586"/>
      <c r="N21" s="586"/>
      <c r="O21" s="655">
        <f>O19+P19</f>
        <v>35000</v>
      </c>
      <c r="P21" s="656"/>
    </row>
    <row r="22" spans="1:16" ht="18.75" hidden="1" customHeight="1" x14ac:dyDescent="0.25">
      <c r="A22" s="17" t="s">
        <v>495</v>
      </c>
    </row>
    <row r="23" spans="1:16" ht="18.75" hidden="1" customHeight="1" x14ac:dyDescent="0.25">
      <c r="A23" s="17" t="s">
        <v>496</v>
      </c>
    </row>
    <row r="24" spans="1:16" ht="18.75" hidden="1" customHeight="1" x14ac:dyDescent="0.25">
      <c r="A24" s="65" t="s">
        <v>466</v>
      </c>
    </row>
    <row r="25" spans="1:16" ht="18.75" customHeight="1" x14ac:dyDescent="0.25">
      <c r="A25" s="65"/>
    </row>
    <row r="26" spans="1:16" ht="18.75" customHeight="1" x14ac:dyDescent="0.25">
      <c r="A26" s="65"/>
    </row>
  </sheetData>
  <sortState xmlns:xlrd2="http://schemas.microsoft.com/office/spreadsheetml/2017/richdata2" ref="A14:H15">
    <sortCondition descending="1" ref="A14:A15"/>
  </sortState>
  <mergeCells count="5">
    <mergeCell ref="O3:P3"/>
    <mergeCell ref="O10:P10"/>
    <mergeCell ref="O20:P20"/>
    <mergeCell ref="O21:P21"/>
    <mergeCell ref="E10:E11"/>
  </mergeCells>
  <phoneticPr fontId="21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67" bestFit="1" customWidth="1"/>
    <col min="2" max="8" width="12.28515625" style="18" hidden="1" customWidth="1"/>
    <col min="9" max="16384" width="9.140625" style="18"/>
  </cols>
  <sheetData>
    <row r="1" spans="1:10" s="36" customFormat="1" ht="18" customHeight="1" x14ac:dyDescent="0.3">
      <c r="A1" s="351" t="s">
        <v>397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</row>
    <row r="3" spans="1:10" s="36" customFormat="1" ht="18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</row>
    <row r="4" spans="1:10" s="89" customFormat="1" ht="18" customHeight="1" x14ac:dyDescent="0.3">
      <c r="A4" s="97"/>
      <c r="B4" s="71"/>
      <c r="C4" s="71"/>
      <c r="D4" s="71"/>
      <c r="E4" s="71"/>
      <c r="F4" s="433"/>
      <c r="G4" s="433"/>
      <c r="H4" s="433"/>
      <c r="I4" s="433"/>
      <c r="J4" s="433"/>
    </row>
    <row r="5" spans="1:10" s="36" customFormat="1" ht="18" customHeight="1" x14ac:dyDescent="0.3">
      <c r="A5" s="27"/>
      <c r="B5" s="31"/>
      <c r="C5" s="31"/>
      <c r="D5" s="31"/>
      <c r="E5" s="31"/>
      <c r="F5" s="434"/>
      <c r="G5" s="434"/>
      <c r="H5" s="434"/>
      <c r="I5" s="434"/>
      <c r="J5" s="434"/>
    </row>
    <row r="6" spans="1:10" ht="18" customHeight="1" x14ac:dyDescent="0.3">
      <c r="A6" s="29" t="s">
        <v>180</v>
      </c>
      <c r="B6" s="32">
        <v>4500</v>
      </c>
      <c r="C6" s="32">
        <v>3200</v>
      </c>
      <c r="D6" s="32">
        <v>3200</v>
      </c>
      <c r="E6" s="32">
        <f>100*12</f>
        <v>1200</v>
      </c>
      <c r="F6" s="401">
        <f>105*12</f>
        <v>1260</v>
      </c>
      <c r="G6" s="401">
        <f>105*12</f>
        <v>1260</v>
      </c>
      <c r="H6" s="401">
        <f>10*12*9</f>
        <v>1080</v>
      </c>
      <c r="I6" s="401">
        <f>(12*1*8.5)+(12*3*4)</f>
        <v>246</v>
      </c>
      <c r="J6" s="401">
        <v>0</v>
      </c>
    </row>
    <row r="7" spans="1:10" ht="18" customHeight="1" x14ac:dyDescent="0.3">
      <c r="A7" s="579" t="s">
        <v>498</v>
      </c>
      <c r="B7" s="32"/>
      <c r="C7" s="32"/>
      <c r="D7" s="32"/>
      <c r="E7" s="32"/>
      <c r="F7" s="401"/>
      <c r="G7" s="401"/>
      <c r="H7" s="401">
        <f>13*50</f>
        <v>650</v>
      </c>
      <c r="I7" s="401">
        <f>50*12</f>
        <v>600</v>
      </c>
      <c r="J7" s="401">
        <v>0</v>
      </c>
    </row>
    <row r="8" spans="1:10" ht="18" customHeight="1" x14ac:dyDescent="0.3">
      <c r="A8" s="299"/>
      <c r="B8" s="289"/>
      <c r="C8" s="289"/>
      <c r="D8" s="289"/>
      <c r="E8" s="289"/>
      <c r="F8" s="435"/>
      <c r="G8" s="435"/>
      <c r="H8" s="435"/>
      <c r="I8" s="435"/>
      <c r="J8" s="435"/>
    </row>
    <row r="9" spans="1:10" ht="18" customHeight="1" x14ac:dyDescent="0.3">
      <c r="A9" s="299"/>
      <c r="B9" s="289"/>
      <c r="C9" s="289"/>
      <c r="D9" s="289"/>
      <c r="E9" s="289"/>
      <c r="F9" s="435"/>
      <c r="G9" s="435"/>
      <c r="H9" s="435"/>
      <c r="I9" s="435"/>
      <c r="J9" s="435"/>
    </row>
    <row r="10" spans="1:10" ht="18" customHeight="1" thickBot="1" x14ac:dyDescent="0.35">
      <c r="A10" s="299"/>
      <c r="B10" s="289">
        <v>-556.55999999999995</v>
      </c>
      <c r="C10" s="289"/>
      <c r="D10" s="289"/>
      <c r="E10" s="289"/>
      <c r="F10" s="435"/>
      <c r="G10" s="435"/>
      <c r="H10" s="435"/>
      <c r="I10" s="435"/>
      <c r="J10" s="435"/>
    </row>
    <row r="11" spans="1:10" ht="18" customHeight="1" thickTop="1" x14ac:dyDescent="0.3">
      <c r="A11" s="60" t="s">
        <v>95</v>
      </c>
      <c r="B11" s="34">
        <f t="shared" ref="B11:J11" si="0">SUM(B4:B10)</f>
        <v>3943.44</v>
      </c>
      <c r="C11" s="34">
        <f t="shared" si="0"/>
        <v>3200</v>
      </c>
      <c r="D11" s="34">
        <f t="shared" si="0"/>
        <v>3200</v>
      </c>
      <c r="E11" s="34">
        <f t="shared" si="0"/>
        <v>1200</v>
      </c>
      <c r="F11" s="403">
        <f t="shared" si="0"/>
        <v>1260</v>
      </c>
      <c r="G11" s="403">
        <f t="shared" si="0"/>
        <v>1260</v>
      </c>
      <c r="H11" s="403">
        <f t="shared" si="0"/>
        <v>1730</v>
      </c>
      <c r="I11" s="403">
        <f t="shared" si="0"/>
        <v>846</v>
      </c>
      <c r="J11" s="403">
        <f t="shared" si="0"/>
        <v>0</v>
      </c>
    </row>
    <row r="12" spans="1:10" ht="18.75" customHeight="1" x14ac:dyDescent="0.3">
      <c r="B12" s="95"/>
    </row>
    <row r="13" spans="1:10" ht="18.75" customHeight="1" x14ac:dyDescent="0.3">
      <c r="A13" s="11" t="s">
        <v>619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67" bestFit="1" customWidth="1"/>
    <col min="2" max="8" width="12.28515625" style="18" hidden="1" customWidth="1"/>
    <col min="9" max="11" width="9.5703125" style="18" hidden="1" customWidth="1"/>
    <col min="12" max="12" width="0" style="18" hidden="1" customWidth="1"/>
    <col min="13" max="15" width="9.5703125" style="18" bestFit="1" customWidth="1"/>
    <col min="16" max="16384" width="9.140625" style="18"/>
  </cols>
  <sheetData>
    <row r="1" spans="1:15" s="36" customFormat="1" ht="18.75" customHeight="1" x14ac:dyDescent="0.3">
      <c r="A1" s="351" t="s">
        <v>396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1.25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s="36" customFormat="1" ht="18.7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 s="31">
        <v>2025</v>
      </c>
    </row>
    <row r="4" spans="1:15" s="89" customFormat="1" ht="18.75" customHeight="1" x14ac:dyDescent="0.3">
      <c r="A4" s="159"/>
      <c r="B4" s="84"/>
      <c r="C4" s="84"/>
      <c r="D4" s="84"/>
      <c r="E4" s="84"/>
      <c r="F4" s="436"/>
      <c r="G4" s="436"/>
      <c r="H4" s="436"/>
      <c r="I4" s="436"/>
      <c r="J4" s="436"/>
      <c r="K4" s="436"/>
      <c r="L4" s="436"/>
      <c r="M4" s="436"/>
      <c r="N4" s="436"/>
      <c r="O4" s="436"/>
    </row>
    <row r="5" spans="1:15" s="89" customFormat="1" ht="16.5" x14ac:dyDescent="0.3">
      <c r="A5" s="29" t="s">
        <v>53</v>
      </c>
      <c r="B5" s="32">
        <v>1000</v>
      </c>
      <c r="C5" s="32">
        <v>1500</v>
      </c>
      <c r="D5" s="32">
        <v>1500</v>
      </c>
      <c r="E5" s="32">
        <v>2000</v>
      </c>
      <c r="F5" s="401">
        <v>2000</v>
      </c>
      <c r="G5" s="401">
        <v>3000</v>
      </c>
      <c r="H5" s="401">
        <v>3000</v>
      </c>
      <c r="I5" s="401">
        <v>3000</v>
      </c>
      <c r="J5" s="401">
        <v>3000</v>
      </c>
      <c r="K5" s="401">
        <v>3000</v>
      </c>
      <c r="L5" s="401">
        <v>3000</v>
      </c>
      <c r="M5" s="401">
        <v>3000</v>
      </c>
      <c r="N5" s="401">
        <v>3000</v>
      </c>
      <c r="O5" s="401">
        <v>5000</v>
      </c>
    </row>
    <row r="6" spans="1:15" s="89" customFormat="1" ht="19.5" customHeight="1" x14ac:dyDescent="0.3">
      <c r="A6" s="554" t="s">
        <v>699</v>
      </c>
      <c r="B6" s="32">
        <v>13400</v>
      </c>
      <c r="C6" s="32">
        <v>13672.8</v>
      </c>
      <c r="D6" s="32">
        <f>45*25.32*12</f>
        <v>13672.800000000001</v>
      </c>
      <c r="E6" s="32">
        <f>47*25.32*12</f>
        <v>14280.48</v>
      </c>
      <c r="F6" s="401">
        <f>55*25.32*12</f>
        <v>16711.199999999997</v>
      </c>
      <c r="G6" s="401">
        <f>75*23.37*12</f>
        <v>21033</v>
      </c>
      <c r="H6" s="401">
        <f>28.08*85*12</f>
        <v>28641.599999999999</v>
      </c>
      <c r="I6" s="401">
        <f>25.51*90*12</f>
        <v>27550.800000000003</v>
      </c>
      <c r="J6" s="401">
        <f>29.61*90*12</f>
        <v>31978.800000000003</v>
      </c>
      <c r="K6" s="401">
        <f>29.61*90*12</f>
        <v>31978.800000000003</v>
      </c>
      <c r="L6" s="401">
        <f>30.84*90*12</f>
        <v>33307.199999999997</v>
      </c>
      <c r="M6" s="401">
        <f>31.87*95*12</f>
        <v>36331.800000000003</v>
      </c>
      <c r="N6" s="401">
        <f>31.87*100*12</f>
        <v>38244</v>
      </c>
      <c r="O6" s="401">
        <f>31.87*100*12</f>
        <v>38244</v>
      </c>
    </row>
    <row r="7" spans="1:15" s="89" customFormat="1" ht="18.75" customHeight="1" x14ac:dyDescent="0.3">
      <c r="A7" s="29" t="s">
        <v>54</v>
      </c>
      <c r="B7" s="32">
        <v>10500</v>
      </c>
      <c r="C7" s="32">
        <v>13200</v>
      </c>
      <c r="D7" s="32">
        <f>24*600</f>
        <v>14400</v>
      </c>
      <c r="E7" s="32">
        <f>24*700</f>
        <v>16800</v>
      </c>
      <c r="F7" s="401">
        <f>24*700</f>
        <v>16800</v>
      </c>
      <c r="G7" s="401">
        <f>26.4*750</f>
        <v>19800</v>
      </c>
      <c r="H7" s="401">
        <f>26.4*775</f>
        <v>20460</v>
      </c>
      <c r="I7" s="401">
        <f>26.4*775</f>
        <v>20460</v>
      </c>
      <c r="J7" s="401">
        <f>26.4*780</f>
        <v>20592</v>
      </c>
      <c r="K7" s="401">
        <f>26.4*650</f>
        <v>17160</v>
      </c>
      <c r="L7" s="401">
        <f>29.04*575</f>
        <v>16698</v>
      </c>
      <c r="M7" s="401">
        <f>31.94*800</f>
        <v>25552</v>
      </c>
      <c r="N7" s="401">
        <f>35.13*800</f>
        <v>28104.000000000004</v>
      </c>
      <c r="O7" s="401">
        <f>97.09*(665/2)</f>
        <v>32282.425000000003</v>
      </c>
    </row>
    <row r="8" spans="1:15" s="89" customFormat="1" ht="18.75" customHeight="1" x14ac:dyDescent="0.3">
      <c r="A8" s="29" t="s">
        <v>54</v>
      </c>
      <c r="B8" s="32">
        <v>10500</v>
      </c>
      <c r="C8" s="32">
        <v>13200</v>
      </c>
      <c r="D8" s="32">
        <f>24*600</f>
        <v>14400</v>
      </c>
      <c r="E8" s="32">
        <f>24*700</f>
        <v>16800</v>
      </c>
      <c r="F8" s="401">
        <f>24*700</f>
        <v>16800</v>
      </c>
      <c r="G8" s="401">
        <f>26.4*750</f>
        <v>19800</v>
      </c>
      <c r="H8" s="401">
        <f>26.4*775</f>
        <v>20460</v>
      </c>
      <c r="I8" s="401">
        <f>26.4*775</f>
        <v>20460</v>
      </c>
      <c r="J8" s="401">
        <f>26.4*780</f>
        <v>20592</v>
      </c>
      <c r="K8" s="401">
        <f>26.4*650</f>
        <v>17160</v>
      </c>
      <c r="L8" s="401">
        <f>29.04*575</f>
        <v>16698</v>
      </c>
      <c r="M8" s="401">
        <f>31.94*800</f>
        <v>25552</v>
      </c>
      <c r="N8" s="401">
        <f>35.13*800</f>
        <v>28104.000000000004</v>
      </c>
      <c r="O8" s="401">
        <f>97.09*(665/2)</f>
        <v>32282.425000000003</v>
      </c>
    </row>
    <row r="9" spans="1:15" s="89" customFormat="1" ht="18.75" customHeight="1" x14ac:dyDescent="0.3">
      <c r="A9" s="29" t="s">
        <v>567</v>
      </c>
      <c r="B9" s="46">
        <v>4200</v>
      </c>
      <c r="C9" s="46">
        <v>4800</v>
      </c>
      <c r="D9" s="46">
        <f>50*11*12</f>
        <v>6600</v>
      </c>
      <c r="E9" s="46">
        <f>50*12*12</f>
        <v>7200</v>
      </c>
      <c r="F9" s="395">
        <f>55*12*12</f>
        <v>7920</v>
      </c>
      <c r="G9" s="395">
        <f>55*12*12</f>
        <v>7920</v>
      </c>
      <c r="H9" s="395">
        <f>40*13*12</f>
        <v>6240</v>
      </c>
      <c r="I9" s="395">
        <f>40*14*12</f>
        <v>6720</v>
      </c>
      <c r="J9" s="395">
        <f>40*14*12</f>
        <v>6720</v>
      </c>
      <c r="K9" s="395">
        <f>40*11*12</f>
        <v>5280</v>
      </c>
      <c r="L9" s="395">
        <f>40*12*12</f>
        <v>5760</v>
      </c>
      <c r="M9" s="395">
        <f>40*12*12</f>
        <v>5760</v>
      </c>
      <c r="N9" s="395">
        <f>40*14*12</f>
        <v>6720</v>
      </c>
      <c r="O9" s="395">
        <f>40*16*12</f>
        <v>7680</v>
      </c>
    </row>
    <row r="10" spans="1:15" s="89" customFormat="1" ht="18.75" customHeight="1" x14ac:dyDescent="0.3">
      <c r="A10" s="29" t="s">
        <v>55</v>
      </c>
      <c r="B10" s="46">
        <v>1200</v>
      </c>
      <c r="C10" s="46">
        <v>2200</v>
      </c>
      <c r="D10" s="46">
        <f>11*400</f>
        <v>4400</v>
      </c>
      <c r="E10" s="46">
        <f>12*400</f>
        <v>4800</v>
      </c>
      <c r="F10" s="395">
        <f>400*12</f>
        <v>4800</v>
      </c>
      <c r="G10" s="395">
        <f>500*12</f>
        <v>6000</v>
      </c>
      <c r="H10" s="395">
        <f>500*13</f>
        <v>6500</v>
      </c>
      <c r="I10" s="395">
        <f t="shared" ref="I10:N10" si="0">500*14</f>
        <v>7000</v>
      </c>
      <c r="J10" s="395">
        <f t="shared" si="0"/>
        <v>7000</v>
      </c>
      <c r="K10" s="395">
        <f t="shared" si="0"/>
        <v>7000</v>
      </c>
      <c r="L10" s="395">
        <f t="shared" si="0"/>
        <v>7000</v>
      </c>
      <c r="M10" s="395">
        <f t="shared" si="0"/>
        <v>7000</v>
      </c>
      <c r="N10" s="395">
        <f t="shared" si="0"/>
        <v>7000</v>
      </c>
      <c r="O10" s="395">
        <f>500*16</f>
        <v>8000</v>
      </c>
    </row>
    <row r="11" spans="1:15" s="89" customFormat="1" ht="18.75" customHeight="1" x14ac:dyDescent="0.3">
      <c r="A11" s="37" t="s">
        <v>486</v>
      </c>
      <c r="B11" s="77">
        <v>3000</v>
      </c>
      <c r="C11" s="77">
        <v>0</v>
      </c>
      <c r="D11" s="77">
        <v>0</v>
      </c>
      <c r="E11" s="77">
        <v>7000</v>
      </c>
      <c r="F11" s="464">
        <f>7200*7</f>
        <v>50400</v>
      </c>
      <c r="G11" s="464">
        <f>8500*9</f>
        <v>76500</v>
      </c>
      <c r="H11" s="464">
        <f>8500*5</f>
        <v>42500</v>
      </c>
      <c r="I11" s="464">
        <v>0</v>
      </c>
      <c r="J11" s="464"/>
      <c r="K11" s="464">
        <v>0</v>
      </c>
      <c r="L11" s="464">
        <v>0</v>
      </c>
      <c r="M11" s="464">
        <f>5*10000</f>
        <v>50000</v>
      </c>
      <c r="N11" s="464">
        <f>12*10000</f>
        <v>120000</v>
      </c>
      <c r="O11" s="464">
        <v>0</v>
      </c>
    </row>
    <row r="12" spans="1:15" s="36" customFormat="1" ht="18.75" hidden="1" customHeight="1" x14ac:dyDescent="0.3">
      <c r="A12" s="37" t="s">
        <v>345</v>
      </c>
      <c r="B12" s="46">
        <v>10000</v>
      </c>
      <c r="C12" s="46">
        <v>2000</v>
      </c>
      <c r="D12" s="46">
        <v>4000</v>
      </c>
      <c r="E12" s="46">
        <v>5000</v>
      </c>
      <c r="F12" s="395"/>
      <c r="G12" s="395"/>
      <c r="H12" s="395"/>
      <c r="I12" s="395"/>
      <c r="J12" s="395"/>
      <c r="K12" s="395"/>
      <c r="L12" s="395"/>
      <c r="M12" s="395"/>
      <c r="N12" s="395"/>
      <c r="O12" s="395"/>
    </row>
    <row r="13" spans="1:15" s="36" customFormat="1" ht="18.75" customHeight="1" x14ac:dyDescent="0.3">
      <c r="A13" s="37" t="s">
        <v>322</v>
      </c>
      <c r="B13" s="46"/>
      <c r="C13" s="46">
        <v>1000</v>
      </c>
      <c r="D13" s="46">
        <v>1000</v>
      </c>
      <c r="E13" s="46">
        <f>600*2</f>
        <v>1200</v>
      </c>
      <c r="F13" s="395">
        <f>600*2</f>
        <v>1200</v>
      </c>
      <c r="G13" s="395">
        <f>800*2</f>
        <v>1600</v>
      </c>
      <c r="H13" s="395">
        <f>800*2</f>
        <v>1600</v>
      </c>
      <c r="I13" s="395">
        <f>800*2</f>
        <v>1600</v>
      </c>
      <c r="J13" s="395">
        <f>(500*2)+(500*2)</f>
        <v>2000</v>
      </c>
      <c r="K13" s="395">
        <f>(500*2)+(500*2)</f>
        <v>2000</v>
      </c>
      <c r="L13" s="395">
        <f>(500*2)+(500*2)</f>
        <v>2000</v>
      </c>
      <c r="M13" s="395">
        <f>(500*2)+(500*2)</f>
        <v>2000</v>
      </c>
      <c r="N13" s="395">
        <f>(550*2)+(550*2)</f>
        <v>2200</v>
      </c>
      <c r="O13" s="395">
        <f>(600*2)+(600*2)</f>
        <v>2400</v>
      </c>
    </row>
    <row r="14" spans="1:15" s="36" customFormat="1" ht="18.75" customHeight="1" x14ac:dyDescent="0.3">
      <c r="A14" s="37" t="s">
        <v>497</v>
      </c>
      <c r="B14" s="46"/>
      <c r="C14" s="46">
        <v>20000</v>
      </c>
      <c r="D14" s="46">
        <v>26000</v>
      </c>
      <c r="E14" s="46">
        <f>6000</f>
        <v>6000</v>
      </c>
      <c r="F14" s="395">
        <v>12000</v>
      </c>
      <c r="G14" s="395">
        <v>12000</v>
      </c>
      <c r="H14" s="395">
        <f>3500*2</f>
        <v>7000</v>
      </c>
      <c r="I14" s="395">
        <f>3000*4</f>
        <v>12000</v>
      </c>
      <c r="J14" s="395">
        <f>3000*4</f>
        <v>12000</v>
      </c>
      <c r="K14" s="395">
        <f>3000*3</f>
        <v>9000</v>
      </c>
      <c r="L14" s="395">
        <f>3000*3</f>
        <v>9000</v>
      </c>
      <c r="M14" s="395">
        <f>3000*3</f>
        <v>9000</v>
      </c>
      <c r="N14" s="395">
        <f>(12*3000)+(13*850)+1000</f>
        <v>48050</v>
      </c>
      <c r="O14" s="395">
        <v>0</v>
      </c>
    </row>
    <row r="15" spans="1:15" s="36" customFormat="1" ht="18.75" hidden="1" customHeight="1" x14ac:dyDescent="0.3">
      <c r="A15" s="37" t="s">
        <v>440</v>
      </c>
      <c r="B15" s="46"/>
      <c r="C15" s="46"/>
      <c r="D15" s="46"/>
      <c r="E15" s="46"/>
      <c r="F15" s="395">
        <f>23*400</f>
        <v>9200</v>
      </c>
      <c r="G15" s="395"/>
      <c r="H15" s="395"/>
      <c r="I15" s="395"/>
      <c r="J15" s="395"/>
      <c r="K15" s="395"/>
      <c r="L15" s="395"/>
      <c r="M15" s="395"/>
      <c r="N15" s="395"/>
      <c r="O15" s="395"/>
    </row>
    <row r="16" spans="1:15" s="36" customFormat="1" ht="18.75" hidden="1" customHeight="1" x14ac:dyDescent="0.3">
      <c r="A16" s="37" t="s">
        <v>502</v>
      </c>
      <c r="B16" s="46"/>
      <c r="C16" s="46"/>
      <c r="D16" s="46"/>
      <c r="E16" s="46"/>
      <c r="F16" s="395"/>
      <c r="G16" s="395">
        <f>6900*2</f>
        <v>13800</v>
      </c>
      <c r="H16" s="395">
        <f>8400*8</f>
        <v>67200</v>
      </c>
      <c r="I16" s="395">
        <v>0</v>
      </c>
      <c r="J16" s="395"/>
      <c r="K16" s="395"/>
      <c r="L16" s="395"/>
      <c r="M16" s="395"/>
      <c r="N16" s="395"/>
      <c r="O16" s="395"/>
    </row>
    <row r="17" spans="1:15" s="36" customFormat="1" ht="18.75" customHeight="1" x14ac:dyDescent="0.3">
      <c r="A17" s="37" t="s">
        <v>599</v>
      </c>
      <c r="B17" s="46"/>
      <c r="C17" s="46"/>
      <c r="D17" s="46"/>
      <c r="E17" s="46"/>
      <c r="F17" s="395"/>
      <c r="G17" s="395"/>
      <c r="H17" s="395"/>
      <c r="I17" s="395"/>
      <c r="J17" s="395">
        <f>(78.92*40)+(118.36*2)+(39.44*4)</f>
        <v>3551.2799999999997</v>
      </c>
      <c r="K17" s="395">
        <f>(78.92*30)+(118.36*2)+(39.44*4)</f>
        <v>2762.08</v>
      </c>
      <c r="L17" s="395">
        <f>(78.92*30)+(118.36*2)+(39.44*4)</f>
        <v>2762.08</v>
      </c>
      <c r="M17" s="395">
        <f>(78.92*30)+(118.36*2)+(39.44*4)</f>
        <v>2762.08</v>
      </c>
      <c r="N17" s="395">
        <f>(78.92*30)+(118.36*2)+(39.44*4)</f>
        <v>2762.08</v>
      </c>
      <c r="O17" s="395">
        <f>(78.92*30)+(118.36*2)+(39.44*4)</f>
        <v>2762.08</v>
      </c>
    </row>
    <row r="18" spans="1:15" s="36" customFormat="1" ht="18.75" customHeight="1" x14ac:dyDescent="0.3">
      <c r="A18" s="37" t="s">
        <v>617</v>
      </c>
      <c r="B18" s="46"/>
      <c r="C18" s="46"/>
      <c r="D18" s="46"/>
      <c r="E18" s="46"/>
      <c r="F18" s="395"/>
      <c r="G18" s="395"/>
      <c r="H18" s="401">
        <f>10*12*9</f>
        <v>1080</v>
      </c>
      <c r="I18" s="401">
        <f t="shared" ref="I18:O18" si="1">(12*1*8.5)+(12*3*4)</f>
        <v>246</v>
      </c>
      <c r="J18" s="401">
        <f t="shared" si="1"/>
        <v>246</v>
      </c>
      <c r="K18" s="401">
        <f t="shared" si="1"/>
        <v>246</v>
      </c>
      <c r="L18" s="401">
        <f t="shared" si="1"/>
        <v>246</v>
      </c>
      <c r="M18" s="401">
        <f t="shared" si="1"/>
        <v>246</v>
      </c>
      <c r="N18" s="401">
        <f t="shared" si="1"/>
        <v>246</v>
      </c>
      <c r="O18" s="401">
        <f t="shared" si="1"/>
        <v>246</v>
      </c>
    </row>
    <row r="19" spans="1:15" s="36" customFormat="1" ht="18.75" customHeight="1" x14ac:dyDescent="0.3">
      <c r="A19" s="37" t="s">
        <v>618</v>
      </c>
      <c r="B19" s="46"/>
      <c r="C19" s="46"/>
      <c r="D19" s="46"/>
      <c r="E19" s="46"/>
      <c r="F19" s="395"/>
      <c r="G19" s="395"/>
      <c r="H19" s="401">
        <f>50*13</f>
        <v>650</v>
      </c>
      <c r="I19" s="401">
        <f>50*12</f>
        <v>600</v>
      </c>
      <c r="J19" s="401">
        <f>45*12</f>
        <v>540</v>
      </c>
      <c r="K19" s="401">
        <f>45*12</f>
        <v>540</v>
      </c>
      <c r="L19" s="401">
        <f>42*12</f>
        <v>504</v>
      </c>
      <c r="M19" s="401">
        <f>42*12</f>
        <v>504</v>
      </c>
      <c r="N19" s="401">
        <f>45*12</f>
        <v>540</v>
      </c>
      <c r="O19" s="401">
        <f>55*12</f>
        <v>660</v>
      </c>
    </row>
    <row r="20" spans="1:15" s="36" customFormat="1" ht="18.75" customHeight="1" x14ac:dyDescent="0.3">
      <c r="A20" s="37"/>
      <c r="B20" s="46"/>
      <c r="C20" s="46"/>
      <c r="D20" s="46"/>
      <c r="E20" s="46"/>
      <c r="F20" s="395"/>
      <c r="G20" s="395"/>
      <c r="H20" s="401"/>
      <c r="I20" s="401"/>
      <c r="J20" s="401"/>
      <c r="K20" s="401"/>
      <c r="L20" s="401"/>
      <c r="M20" s="401"/>
      <c r="N20" s="401"/>
      <c r="O20" s="401"/>
    </row>
    <row r="21" spans="1:15" s="36" customFormat="1" ht="18.75" customHeight="1" thickBot="1" x14ac:dyDescent="0.35">
      <c r="A21" s="37"/>
      <c r="B21" s="46"/>
      <c r="C21" s="46"/>
      <c r="D21" s="46"/>
      <c r="E21" s="46"/>
      <c r="F21" s="395"/>
      <c r="G21" s="395"/>
      <c r="H21" s="395"/>
      <c r="I21" s="395"/>
      <c r="J21" s="395"/>
      <c r="K21" s="395"/>
      <c r="L21" s="395"/>
      <c r="M21" s="395"/>
      <c r="N21" s="395"/>
      <c r="O21" s="395"/>
    </row>
    <row r="22" spans="1:15" s="36" customFormat="1" ht="18.75" customHeight="1" thickTop="1" x14ac:dyDescent="0.3">
      <c r="A22" s="60" t="s">
        <v>95</v>
      </c>
      <c r="B22" s="61">
        <f t="shared" ref="B22:G22" si="2">SUM(B4:B21)</f>
        <v>53800</v>
      </c>
      <c r="C22" s="61">
        <f t="shared" si="2"/>
        <v>71572.800000000003</v>
      </c>
      <c r="D22" s="61">
        <f t="shared" si="2"/>
        <v>85972.800000000003</v>
      </c>
      <c r="E22" s="61">
        <f t="shared" si="2"/>
        <v>81080.479999999996</v>
      </c>
      <c r="F22" s="468">
        <f t="shared" si="2"/>
        <v>137831.20000000001</v>
      </c>
      <c r="G22" s="555">
        <f t="shared" si="2"/>
        <v>181453</v>
      </c>
      <c r="H22" s="555">
        <f>SUM(H4:H21)-H18</f>
        <v>204251.6</v>
      </c>
      <c r="I22" s="555">
        <f>SUM(I4:I21)-I18</f>
        <v>99390.8</v>
      </c>
      <c r="J22" s="555">
        <f t="shared" ref="J22:O22" si="3">SUM(J4:J21)</f>
        <v>108220.08</v>
      </c>
      <c r="K22" s="555">
        <f t="shared" si="3"/>
        <v>96126.88</v>
      </c>
      <c r="L22" s="555">
        <f t="shared" si="3"/>
        <v>96975.28</v>
      </c>
      <c r="M22" s="555">
        <f t="shared" si="3"/>
        <v>167707.87999999998</v>
      </c>
      <c r="N22" s="555">
        <f t="shared" si="3"/>
        <v>284970.08</v>
      </c>
      <c r="O22" s="555">
        <f t="shared" si="3"/>
        <v>129556.93000000001</v>
      </c>
    </row>
    <row r="23" spans="1:15" s="36" customFormat="1" ht="16.5" x14ac:dyDescent="0.3">
      <c r="A23" s="11"/>
    </row>
    <row r="24" spans="1:15" ht="12.95" customHeight="1" x14ac:dyDescent="0.3">
      <c r="A24" s="11"/>
    </row>
    <row r="25" spans="1:15" ht="12.95" hidden="1" customHeight="1" x14ac:dyDescent="0.3">
      <c r="A25" s="590" t="s">
        <v>489</v>
      </c>
    </row>
    <row r="26" spans="1:15" ht="12.95" customHeight="1" x14ac:dyDescent="0.3">
      <c r="A26" s="11"/>
    </row>
    <row r="27" spans="1:15" ht="12.95" customHeight="1" x14ac:dyDescent="0.3">
      <c r="A27" s="11"/>
    </row>
    <row r="28" spans="1:15" s="36" customFormat="1" ht="12.95" customHeight="1" x14ac:dyDescent="0.3">
      <c r="A28" s="11"/>
    </row>
    <row r="29" spans="1:15" ht="12.95" customHeight="1" x14ac:dyDescent="0.3">
      <c r="A29" s="11"/>
    </row>
    <row r="30" spans="1:15" ht="12.95" customHeight="1" x14ac:dyDescent="0.3">
      <c r="A30" s="11"/>
    </row>
    <row r="31" spans="1:15" ht="12.95" customHeight="1" x14ac:dyDescent="0.3">
      <c r="A31" s="11"/>
    </row>
    <row r="32" spans="1:15" ht="12.95" customHeight="1" x14ac:dyDescent="0.3">
      <c r="A32" s="18"/>
    </row>
    <row r="33" spans="1:2" ht="12.95" customHeight="1" x14ac:dyDescent="0.3">
      <c r="A33" s="18"/>
      <c r="B33" s="30"/>
    </row>
    <row r="34" spans="1:2" ht="12.95" customHeight="1" x14ac:dyDescent="0.3">
      <c r="A34" s="18"/>
      <c r="B34" s="30"/>
    </row>
    <row r="35" spans="1:2" ht="12.95" customHeight="1" x14ac:dyDescent="0.3">
      <c r="A35" s="18"/>
      <c r="B35" s="30"/>
    </row>
    <row r="36" spans="1:2" ht="18.75" customHeight="1" x14ac:dyDescent="0.3">
      <c r="A36" s="11"/>
    </row>
    <row r="37" spans="1:2" ht="18.75" customHeight="1" x14ac:dyDescent="0.3">
      <c r="A37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/>
  </sheetViews>
  <sheetFormatPr defaultColWidth="9.140625" defaultRowHeight="16.5" x14ac:dyDescent="0.3"/>
  <cols>
    <col min="1" max="1" width="22" style="18" customWidth="1"/>
    <col min="2" max="4" width="11.7109375" style="18" hidden="1" customWidth="1"/>
    <col min="5" max="8" width="12" style="18" hidden="1" customWidth="1"/>
    <col min="9" max="12" width="0" style="18" hidden="1" customWidth="1"/>
    <col min="13" max="16384" width="9.140625" style="18"/>
  </cols>
  <sheetData>
    <row r="1" spans="1:15" ht="22.5" customHeight="1" x14ac:dyDescent="0.3">
      <c r="A1" s="351" t="s">
        <v>395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9">
        <v>2025</v>
      </c>
    </row>
    <row r="4" spans="1:15" x14ac:dyDescent="0.3">
      <c r="A4" s="97"/>
      <c r="B4" s="71"/>
      <c r="C4" s="69"/>
      <c r="D4" s="69"/>
      <c r="E4" s="69"/>
      <c r="F4" s="437"/>
      <c r="G4" s="437"/>
      <c r="H4" s="437"/>
      <c r="I4" s="437"/>
      <c r="J4" s="437"/>
      <c r="K4" s="437"/>
      <c r="L4" s="437"/>
      <c r="M4" s="437"/>
      <c r="N4" s="437"/>
      <c r="O4" s="437"/>
    </row>
    <row r="5" spans="1:15" x14ac:dyDescent="0.3">
      <c r="A5" s="91"/>
      <c r="B5" s="68"/>
      <c r="C5" s="86"/>
      <c r="D5" s="86"/>
      <c r="E5" s="86"/>
      <c r="F5" s="438"/>
      <c r="G5" s="438"/>
      <c r="H5" s="438"/>
      <c r="I5" s="438"/>
      <c r="J5" s="438"/>
      <c r="K5" s="438"/>
      <c r="L5" s="438"/>
      <c r="M5" s="438"/>
      <c r="N5" s="438"/>
      <c r="O5" s="438"/>
    </row>
    <row r="6" spans="1:15" x14ac:dyDescent="0.3">
      <c r="A6" s="29" t="s">
        <v>122</v>
      </c>
      <c r="B6" s="32">
        <v>40000</v>
      </c>
      <c r="C6" s="39">
        <v>40000</v>
      </c>
      <c r="D6" s="75">
        <v>40000</v>
      </c>
      <c r="E6" s="75">
        <v>30000</v>
      </c>
      <c r="F6" s="439">
        <v>30000</v>
      </c>
      <c r="G6" s="439">
        <v>30000</v>
      </c>
      <c r="H6" s="439">
        <v>30000</v>
      </c>
      <c r="I6" s="439">
        <f>14500*2</f>
        <v>29000</v>
      </c>
      <c r="J6" s="439">
        <f>14500*2</f>
        <v>29000</v>
      </c>
      <c r="K6" s="439">
        <f>13000*2</f>
        <v>26000</v>
      </c>
      <c r="L6" s="439">
        <f>10000*2</f>
        <v>20000</v>
      </c>
      <c r="M6" s="439">
        <f>10000+12000</f>
        <v>22000</v>
      </c>
      <c r="N6" s="439">
        <v>36000</v>
      </c>
      <c r="O6" s="439">
        <v>30000</v>
      </c>
    </row>
    <row r="7" spans="1:15" x14ac:dyDescent="0.3">
      <c r="A7" s="29"/>
      <c r="B7" s="32"/>
      <c r="C7" s="86"/>
      <c r="D7" s="86"/>
      <c r="E7" s="86"/>
      <c r="F7" s="438"/>
      <c r="G7" s="440"/>
      <c r="H7" s="440"/>
      <c r="I7" s="440"/>
      <c r="J7" s="440"/>
      <c r="K7" s="440"/>
      <c r="L7" s="440"/>
      <c r="M7" s="440"/>
      <c r="N7" s="440"/>
      <c r="O7" s="440"/>
    </row>
    <row r="8" spans="1:15" ht="17.25" thickBot="1" x14ac:dyDescent="0.35">
      <c r="A8" s="341"/>
      <c r="B8" s="212">
        <v>-8500</v>
      </c>
      <c r="C8" s="40"/>
      <c r="D8" s="40"/>
      <c r="E8" s="40"/>
      <c r="F8" s="441"/>
      <c r="G8" s="442"/>
      <c r="H8" s="442"/>
      <c r="I8" s="442"/>
      <c r="J8" s="442"/>
      <c r="K8" s="442"/>
      <c r="L8" s="442"/>
      <c r="M8" s="442"/>
      <c r="N8" s="442"/>
      <c r="O8" s="442"/>
    </row>
    <row r="9" spans="1:15" ht="17.25" thickTop="1" x14ac:dyDescent="0.3">
      <c r="A9" s="60" t="s">
        <v>95</v>
      </c>
      <c r="B9" s="34">
        <f t="shared" ref="B9:H9" si="0">SUM(B4:B8)</f>
        <v>31500</v>
      </c>
      <c r="C9" s="99">
        <f t="shared" si="0"/>
        <v>40000</v>
      </c>
      <c r="D9" s="99">
        <f t="shared" si="0"/>
        <v>40000</v>
      </c>
      <c r="E9" s="99">
        <f t="shared" si="0"/>
        <v>30000</v>
      </c>
      <c r="F9" s="443">
        <f t="shared" si="0"/>
        <v>30000</v>
      </c>
      <c r="G9" s="444">
        <f>SUM(G4:G8)</f>
        <v>30000</v>
      </c>
      <c r="H9" s="444">
        <f t="shared" si="0"/>
        <v>30000</v>
      </c>
      <c r="I9" s="444">
        <f t="shared" ref="I9:N9" si="1">SUM(I4:I8)</f>
        <v>29000</v>
      </c>
      <c r="J9" s="444">
        <f t="shared" si="1"/>
        <v>29000</v>
      </c>
      <c r="K9" s="444">
        <f t="shared" si="1"/>
        <v>26000</v>
      </c>
      <c r="L9" s="444">
        <f t="shared" si="1"/>
        <v>20000</v>
      </c>
      <c r="M9" s="444">
        <f t="shared" si="1"/>
        <v>22000</v>
      </c>
      <c r="N9" s="444">
        <f t="shared" si="1"/>
        <v>36000</v>
      </c>
      <c r="O9" s="444">
        <f t="shared" ref="O9" si="2">SUM(O4:O8)</f>
        <v>30000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INDIV PAYROLL</vt:lpstr>
      <vt:lpstr>642 FF RATES</vt:lpstr>
      <vt:lpstr>642 2% Longevity Rate Chart</vt:lpstr>
      <vt:lpstr>642 LONGEVITY</vt:lpstr>
      <vt:lpstr>642 CERT PAY RATES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Wittig</cp:lastModifiedBy>
  <cp:lastPrinted>2024-08-15T17:00:03Z</cp:lastPrinted>
  <dcterms:created xsi:type="dcterms:W3CDTF">2002-06-05T21:07:58Z</dcterms:created>
  <dcterms:modified xsi:type="dcterms:W3CDTF">2024-08-27T16:58:03Z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2022-09-26T22:49:56Z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a0de540c-32ab-48fc-a197-af23f7e043fd</vt:lpwstr>
  </property>
  <property fmtid="{D5CDD505-2E9C-101B-9397-08002B2CF9AE}" pid="7" name="MSIP_Label_defa4170-0d19-0005-0004-bc88714345d2_ActionId">
    <vt:lpwstr>9459a670-6226-4a43-a124-2d54760ebc60</vt:lpwstr>
  </property>
  <property fmtid="{D5CDD505-2E9C-101B-9397-08002B2CF9AE}" pid="8" name="MSIP_Label_defa4170-0d19-0005-0004-bc88714345d2_ContentBits">
    <vt:lpwstr>0</vt:lpwstr>
  </property>
</Properties>
</file>