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get\FY2022\"/>
    </mc:Choice>
  </mc:AlternateContent>
  <bookViews>
    <workbookView xWindow="-120" yWindow="0" windowWidth="2280" windowHeight="0" tabRatio="973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state="hidden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INDIV PAYROLL" sheetId="128" state="hidden" r:id="rId25"/>
    <sheet name="642 FF RATES" sheetId="131" r:id="rId26"/>
    <sheet name="643 RECOGNITION" sheetId="133" r:id="rId27"/>
    <sheet name="644 CERTIFICATIONS" sheetId="132" r:id="rId28"/>
    <sheet name="645 RECRUITMENT" sheetId="136" r:id="rId29"/>
    <sheet name="651 BLDG GROUND MAINT" sheetId="74" r:id="rId30"/>
    <sheet name="652 OFFICE SUPPLIES" sheetId="77" r:id="rId31"/>
    <sheet name="653 STATION SUPPLIES" sheetId="75" r:id="rId32"/>
    <sheet name="654 BANK FEES" sheetId="80" r:id="rId33"/>
    <sheet name="655 DUES AND SUBSCRIPTIONS" sheetId="79" r:id="rId34"/>
    <sheet name="656 INFORMATION TECHNOLOGY" sheetId="88" r:id="rId35"/>
    <sheet name="657 POSTAGE" sheetId="86" r:id="rId36"/>
    <sheet name="658 PROP &amp; LIABILITY" sheetId="135" r:id="rId37"/>
    <sheet name="659 PROFESSIONAL SVCS" sheetId="85" r:id="rId38"/>
    <sheet name="660 PUBLIC NOTICES" sheetId="83" r:id="rId39"/>
    <sheet name="661 TELEPHONE" sheetId="15" r:id="rId40"/>
    <sheet name="662 UTILITIES" sheetId="16" r:id="rId41"/>
    <sheet name="663 BOND DEBT SVC" sheetId="90" r:id="rId42"/>
    <sheet name="664 TCESD COMPENSATION" sheetId="101" r:id="rId43"/>
    <sheet name="665 GRANT MATCHING" sheetId="137" r:id="rId44"/>
    <sheet name="666 CONTRACT SERVICES" sheetId="139" state="hidden" r:id="rId45"/>
    <sheet name="671 PREVENTION" sheetId="134" r:id="rId46"/>
    <sheet name="672 PUBLIC EDUCATION" sheetId="102" r:id="rId47"/>
  </sheets>
  <definedNames>
    <definedName name="_xlnm._FilterDatabase" localSheetId="21" hidden="1">'635 EMT CERT COURSE'!$A$6:$C$11</definedName>
    <definedName name="_xlnm.Print_Titles" localSheetId="18">'632 FIRE &amp; RESCUE TRAINING'!$1:$2</definedName>
  </definedNames>
  <calcPr calcId="162913"/>
</workbook>
</file>

<file path=xl/calcChain.xml><?xml version="1.0" encoding="utf-8"?>
<calcChain xmlns="http://schemas.openxmlformats.org/spreadsheetml/2006/main">
  <c r="L28" i="153" l="1"/>
  <c r="O7" i="141" l="1"/>
  <c r="O4" i="141"/>
  <c r="O21" i="141"/>
  <c r="O20" i="141"/>
  <c r="O19" i="141"/>
  <c r="O18" i="141"/>
  <c r="O17" i="141"/>
  <c r="O16" i="141"/>
  <c r="O15" i="141"/>
  <c r="O13" i="141"/>
  <c r="O12" i="141"/>
  <c r="O11" i="141"/>
  <c r="O9" i="141"/>
  <c r="O8" i="141"/>
  <c r="O3" i="141"/>
  <c r="M7" i="141" l="1"/>
  <c r="M4" i="141"/>
  <c r="L5" i="120" l="1"/>
  <c r="L5" i="112" l="1"/>
  <c r="L15" i="75" l="1"/>
  <c r="L23" i="95" l="1"/>
  <c r="L12" i="88" l="1"/>
  <c r="L6" i="65" l="1"/>
  <c r="L8" i="65" l="1"/>
  <c r="L7" i="65"/>
  <c r="L6" i="113"/>
  <c r="L29" i="100"/>
  <c r="L21" i="116"/>
  <c r="L6" i="126"/>
  <c r="L7" i="74"/>
  <c r="L20" i="88"/>
  <c r="L13" i="16"/>
  <c r="L12" i="16"/>
  <c r="L8" i="16"/>
  <c r="L7" i="16"/>
  <c r="L6" i="16"/>
  <c r="L5" i="16"/>
  <c r="L11" i="16"/>
  <c r="L10" i="16"/>
  <c r="L10" i="67"/>
  <c r="L14" i="75"/>
  <c r="L31" i="100"/>
  <c r="L24" i="125"/>
  <c r="L12" i="125"/>
  <c r="L6" i="153" l="1"/>
  <c r="L5" i="118" l="1"/>
  <c r="L4" i="120"/>
  <c r="L9" i="90" l="1"/>
  <c r="L5" i="15" l="1"/>
  <c r="L9" i="85"/>
  <c r="L6" i="85"/>
  <c r="L6" i="88"/>
  <c r="L7" i="75"/>
  <c r="M10" i="153"/>
  <c r="M6" i="153"/>
  <c r="M21" i="153"/>
  <c r="L21" i="126"/>
  <c r="L19" i="65"/>
  <c r="F49" i="105" l="1"/>
  <c r="F42" i="105"/>
  <c r="F39" i="105"/>
  <c r="F35" i="105"/>
  <c r="F34" i="105"/>
  <c r="F33" i="105"/>
  <c r="L9" i="65" l="1"/>
  <c r="L12" i="120"/>
  <c r="F13" i="105" s="1"/>
  <c r="L5" i="119"/>
  <c r="L12" i="119" s="1"/>
  <c r="F14" i="105" s="1"/>
  <c r="L11" i="118"/>
  <c r="F15" i="105" s="1"/>
  <c r="L14" i="8"/>
  <c r="F16" i="105" s="1"/>
  <c r="M14" i="8"/>
  <c r="L10" i="65"/>
  <c r="L13" i="65"/>
  <c r="L14" i="65"/>
  <c r="L17" i="65"/>
  <c r="L18" i="65"/>
  <c r="L9" i="113"/>
  <c r="F18" i="105" s="1"/>
  <c r="L5" i="67"/>
  <c r="L11" i="67"/>
  <c r="L25" i="67" s="1"/>
  <c r="F19" i="105" s="1"/>
  <c r="L12" i="67"/>
  <c r="L13" i="67"/>
  <c r="L16" i="67"/>
  <c r="L25" i="95"/>
  <c r="F20" i="105" s="1"/>
  <c r="L16" i="100"/>
  <c r="L33" i="100" s="1"/>
  <c r="F21" i="105" s="1"/>
  <c r="L21" i="100"/>
  <c r="L5" i="116"/>
  <c r="L9" i="116"/>
  <c r="L10" i="116"/>
  <c r="L28" i="116" s="1"/>
  <c r="L6" i="115" s="1"/>
  <c r="L12" i="116"/>
  <c r="L15" i="116"/>
  <c r="L26" i="116"/>
  <c r="L13" i="123"/>
  <c r="F23" i="105" s="1"/>
  <c r="L10" i="122"/>
  <c r="F24" i="105" s="1"/>
  <c r="L8" i="112"/>
  <c r="F25" i="105" s="1"/>
  <c r="L33" i="69"/>
  <c r="L40" i="69" s="1"/>
  <c r="F26" i="105" s="1"/>
  <c r="L9" i="126"/>
  <c r="L23" i="126" s="1"/>
  <c r="F27" i="105" s="1"/>
  <c r="L18" i="126"/>
  <c r="L19" i="126"/>
  <c r="L33" i="125"/>
  <c r="F28" i="105" s="1"/>
  <c r="L27" i="125"/>
  <c r="L19" i="140"/>
  <c r="F29" i="105" s="1"/>
  <c r="L5" i="147"/>
  <c r="L12" i="147" s="1"/>
  <c r="F30" i="105" s="1"/>
  <c r="L11" i="153"/>
  <c r="L21" i="153"/>
  <c r="L22" i="153"/>
  <c r="L14" i="133"/>
  <c r="L11" i="132"/>
  <c r="L12" i="132"/>
  <c r="L22" i="132"/>
  <c r="L18" i="136"/>
  <c r="L14" i="74"/>
  <c r="L45" i="74"/>
  <c r="F36" i="105" s="1"/>
  <c r="L8" i="77"/>
  <c r="L20" i="77"/>
  <c r="F37" i="105" s="1"/>
  <c r="L17" i="75"/>
  <c r="F38" i="105" s="1"/>
  <c r="L13" i="80"/>
  <c r="L5" i="79"/>
  <c r="L16" i="79"/>
  <c r="L8" i="88"/>
  <c r="L10" i="88"/>
  <c r="L28" i="88" s="1"/>
  <c r="F41" i="105" s="1"/>
  <c r="L22" i="88"/>
  <c r="L24" i="88"/>
  <c r="L11" i="86"/>
  <c r="L16" i="135"/>
  <c r="F43" i="105" s="1"/>
  <c r="L14" i="85"/>
  <c r="F44" i="105" s="1"/>
  <c r="L7" i="83"/>
  <c r="L13" i="83"/>
  <c r="F45" i="105" s="1"/>
  <c r="L4" i="15"/>
  <c r="L8" i="15"/>
  <c r="L12" i="15"/>
  <c r="F46" i="105" s="1"/>
  <c r="L17" i="16"/>
  <c r="F47" i="105" s="1"/>
  <c r="L9" i="16"/>
  <c r="L14" i="16"/>
  <c r="L15" i="90"/>
  <c r="L6" i="101"/>
  <c r="L11" i="101"/>
  <c r="L13" i="137"/>
  <c r="F50" i="105" s="1"/>
  <c r="L17" i="134"/>
  <c r="F51" i="105" s="1"/>
  <c r="L6" i="102"/>
  <c r="L8" i="102"/>
  <c r="L10" i="102"/>
  <c r="L16" i="102"/>
  <c r="F52" i="105" s="1"/>
  <c r="F4" i="105"/>
  <c r="F3" i="105"/>
  <c r="F2" i="105"/>
  <c r="D53" i="105"/>
  <c r="N15" i="141"/>
  <c r="N11" i="141"/>
  <c r="N8" i="141"/>
  <c r="M9" i="141"/>
  <c r="M18" i="141"/>
  <c r="N17" i="141" l="1"/>
  <c r="F48" i="105"/>
  <c r="L22" i="65"/>
  <c r="F17" i="105" s="1"/>
  <c r="L16" i="8"/>
  <c r="M24" i="141"/>
  <c r="L4" i="141"/>
  <c r="K16" i="100" l="1"/>
  <c r="K12" i="132"/>
  <c r="K33" i="69"/>
  <c r="K21" i="116"/>
  <c r="B9" i="117"/>
  <c r="K17" i="65"/>
  <c r="K14" i="65"/>
  <c r="K13" i="75" l="1"/>
  <c r="K6" i="113"/>
  <c r="L20" i="141" l="1"/>
  <c r="K22" i="153" l="1"/>
  <c r="K9" i="90"/>
  <c r="K7" i="83"/>
  <c r="K25" i="88"/>
  <c r="K12" i="88"/>
  <c r="K16" i="79"/>
  <c r="K27" i="125"/>
  <c r="K9" i="126"/>
  <c r="K30" i="69"/>
  <c r="K10" i="123"/>
  <c r="K29" i="100"/>
  <c r="K24" i="125"/>
  <c r="K9" i="65"/>
  <c r="K8" i="65"/>
  <c r="K7" i="65"/>
  <c r="K12" i="8"/>
  <c r="K5" i="120"/>
  <c r="K9" i="116" l="1"/>
  <c r="K20" i="141"/>
  <c r="J12" i="8"/>
  <c r="O14" i="141" l="1"/>
  <c r="K6" i="102"/>
  <c r="K8" i="102"/>
  <c r="K10" i="102"/>
  <c r="K17" i="134"/>
  <c r="K13" i="137"/>
  <c r="K6" i="101"/>
  <c r="K11" i="101" s="1"/>
  <c r="K15" i="90"/>
  <c r="K5" i="16"/>
  <c r="K6" i="16"/>
  <c r="K17" i="16" s="1"/>
  <c r="K7" i="16"/>
  <c r="K8" i="16"/>
  <c r="K9" i="16"/>
  <c r="K10" i="16"/>
  <c r="K11" i="16"/>
  <c r="K12" i="16"/>
  <c r="K13" i="16"/>
  <c r="K14" i="16"/>
  <c r="K4" i="15"/>
  <c r="K5" i="15"/>
  <c r="K8" i="15"/>
  <c r="K12" i="15"/>
  <c r="K13" i="83"/>
  <c r="K14" i="85"/>
  <c r="K9" i="85"/>
  <c r="K6" i="135"/>
  <c r="K7" i="135"/>
  <c r="K16" i="135" s="1"/>
  <c r="K8" i="135"/>
  <c r="K9" i="135"/>
  <c r="K10" i="135"/>
  <c r="K11" i="135"/>
  <c r="K11" i="86"/>
  <c r="I6" i="88"/>
  <c r="K28" i="88"/>
  <c r="K8" i="88"/>
  <c r="K10" i="88"/>
  <c r="K22" i="88"/>
  <c r="K24" i="88"/>
  <c r="K5" i="79"/>
  <c r="K13" i="80"/>
  <c r="K7" i="75"/>
  <c r="K17" i="75" s="1"/>
  <c r="K8" i="77"/>
  <c r="K20" i="77" s="1"/>
  <c r="K7" i="74"/>
  <c r="K14" i="74"/>
  <c r="K18" i="136"/>
  <c r="K11" i="132"/>
  <c r="K14" i="133"/>
  <c r="K21" i="153"/>
  <c r="K11" i="153"/>
  <c r="K6" i="153"/>
  <c r="K5" i="147"/>
  <c r="K12" i="147" s="1"/>
  <c r="K19" i="140"/>
  <c r="K12" i="125"/>
  <c r="K33" i="125"/>
  <c r="K21" i="126"/>
  <c r="K19" i="126"/>
  <c r="K18" i="126"/>
  <c r="K6" i="126"/>
  <c r="K5" i="112"/>
  <c r="K8" i="112" s="1"/>
  <c r="K10" i="122"/>
  <c r="K13" i="123"/>
  <c r="J26" i="116"/>
  <c r="K26" i="116"/>
  <c r="I26" i="116"/>
  <c r="K5" i="116"/>
  <c r="K28" i="116" s="1"/>
  <c r="K10" i="116"/>
  <c r="K12" i="116"/>
  <c r="K15" i="116"/>
  <c r="K21" i="100"/>
  <c r="K33" i="100"/>
  <c r="K25" i="95"/>
  <c r="K5" i="67"/>
  <c r="K11" i="67"/>
  <c r="K12" i="67"/>
  <c r="K13" i="67"/>
  <c r="K16" i="67"/>
  <c r="K9" i="113"/>
  <c r="K6" i="65"/>
  <c r="K10" i="65"/>
  <c r="K13" i="65"/>
  <c r="K18" i="65"/>
  <c r="K19" i="65"/>
  <c r="K22" i="65" l="1"/>
  <c r="K25" i="67"/>
  <c r="K40" i="69"/>
  <c r="K23" i="126"/>
  <c r="K22" i="132"/>
  <c r="K45" i="74"/>
  <c r="K16" i="102"/>
  <c r="J14" i="8"/>
  <c r="K5" i="119"/>
  <c r="K12" i="119" s="1"/>
  <c r="K4" i="120"/>
  <c r="K12" i="120" s="1"/>
  <c r="F6" i="105"/>
  <c r="F8" i="105"/>
  <c r="L18" i="141"/>
  <c r="L9" i="141"/>
  <c r="L8" i="141"/>
  <c r="F5" i="105" l="1"/>
  <c r="F9" i="105"/>
  <c r="K4" i="141" l="1"/>
  <c r="J5" i="120" l="1"/>
  <c r="J5" i="15" l="1"/>
  <c r="J33" i="69"/>
  <c r="J4" i="120"/>
  <c r="J5" i="112"/>
  <c r="H19" i="65"/>
  <c r="J19" i="65"/>
  <c r="I19" i="65"/>
  <c r="J18" i="65"/>
  <c r="I18" i="65"/>
  <c r="H18" i="65"/>
  <c r="K3" i="141"/>
  <c r="J11" i="135"/>
  <c r="J10" i="135"/>
  <c r="J9" i="135"/>
  <c r="J8" i="135"/>
  <c r="J7" i="135"/>
  <c r="J6" i="135"/>
  <c r="J16" i="135" s="1"/>
  <c r="J9" i="90" l="1"/>
  <c r="J17" i="65" l="1"/>
  <c r="J14" i="16"/>
  <c r="J8" i="88"/>
  <c r="J12" i="125"/>
  <c r="J27" i="125"/>
  <c r="J18" i="126"/>
  <c r="J21" i="126"/>
  <c r="J19" i="126"/>
  <c r="J11" i="123"/>
  <c r="J13" i="95"/>
  <c r="J23" i="67"/>
  <c r="I9" i="153"/>
  <c r="J11" i="153" l="1"/>
  <c r="J16" i="100"/>
  <c r="J20" i="116"/>
  <c r="J21" i="153"/>
  <c r="J22" i="153"/>
  <c r="J8" i="65"/>
  <c r="J7" i="65"/>
  <c r="J13" i="65"/>
  <c r="J21" i="100" l="1"/>
  <c r="J9" i="116"/>
  <c r="J9" i="136"/>
  <c r="J25" i="116"/>
  <c r="J24" i="116"/>
  <c r="J10" i="116"/>
  <c r="J12" i="116"/>
  <c r="J14" i="102"/>
  <c r="J28" i="100" l="1"/>
  <c r="J5" i="147"/>
  <c r="K18" i="141"/>
  <c r="K9" i="141"/>
  <c r="K8" i="141"/>
  <c r="J24" i="88"/>
  <c r="J11" i="132"/>
  <c r="J6" i="102"/>
  <c r="J8" i="102" l="1"/>
  <c r="J10" i="102"/>
  <c r="J5" i="79"/>
  <c r="J7" i="75"/>
  <c r="I7" i="75"/>
  <c r="H7" i="75"/>
  <c r="H6" i="153"/>
  <c r="I6" i="153"/>
  <c r="J9" i="126"/>
  <c r="J6" i="126"/>
  <c r="J6" i="65"/>
  <c r="J4" i="15" l="1"/>
  <c r="J9" i="85"/>
  <c r="J8" i="77"/>
  <c r="J14" i="74"/>
  <c r="J30" i="69"/>
  <c r="E9" i="117"/>
  <c r="D17" i="117"/>
  <c r="E17" i="117" s="1"/>
  <c r="A17" i="117"/>
  <c r="E49" i="117"/>
  <c r="E39" i="117"/>
  <c r="E32" i="117"/>
  <c r="E28" i="117"/>
  <c r="E20" i="117"/>
  <c r="E12" i="117"/>
  <c r="D39" i="117"/>
  <c r="D32" i="117"/>
  <c r="D28" i="117"/>
  <c r="D20" i="117"/>
  <c r="D12" i="117"/>
  <c r="C39" i="117"/>
  <c r="C32" i="117"/>
  <c r="C28" i="117"/>
  <c r="C20" i="117"/>
  <c r="C12" i="117"/>
  <c r="B32" i="117"/>
  <c r="B28" i="117"/>
  <c r="B20" i="117"/>
  <c r="B12" i="117"/>
  <c r="A39" i="117"/>
  <c r="A32" i="117"/>
  <c r="A28" i="117"/>
  <c r="A20" i="117"/>
  <c r="A12" i="117"/>
  <c r="A36" i="117"/>
  <c r="A35" i="117"/>
  <c r="A34" i="117"/>
  <c r="A33" i="117"/>
  <c r="A29" i="117"/>
  <c r="A25" i="117"/>
  <c r="A24" i="117"/>
  <c r="A23" i="117"/>
  <c r="A22" i="117"/>
  <c r="A21" i="117"/>
  <c r="A16" i="117"/>
  <c r="A15" i="117"/>
  <c r="A14" i="117"/>
  <c r="A13" i="117"/>
  <c r="D34" i="117"/>
  <c r="D23" i="117"/>
  <c r="B36" i="117"/>
  <c r="B35" i="117"/>
  <c r="B34" i="117"/>
  <c r="B25" i="117"/>
  <c r="B24" i="117"/>
  <c r="B23" i="117"/>
  <c r="B22" i="117"/>
  <c r="B16" i="117"/>
  <c r="B15" i="117"/>
  <c r="B14" i="117"/>
  <c r="B8" i="117"/>
  <c r="B7" i="117"/>
  <c r="B6" i="117"/>
  <c r="B5" i="117"/>
  <c r="H18" i="67"/>
  <c r="I18" i="67"/>
  <c r="I6" i="65"/>
  <c r="H6" i="65"/>
  <c r="J4" i="141"/>
  <c r="E34" i="117" l="1"/>
  <c r="J16" i="102"/>
  <c r="J17" i="134"/>
  <c r="J13" i="137"/>
  <c r="J6" i="101"/>
  <c r="J11" i="101"/>
  <c r="J15" i="90"/>
  <c r="J5" i="16"/>
  <c r="J6" i="16"/>
  <c r="J7" i="16"/>
  <c r="J8" i="16"/>
  <c r="J9" i="16"/>
  <c r="J10" i="16"/>
  <c r="J11" i="16"/>
  <c r="J12" i="16"/>
  <c r="J13" i="16"/>
  <c r="J8" i="15"/>
  <c r="J12" i="15" s="1"/>
  <c r="J13" i="83"/>
  <c r="J14" i="85"/>
  <c r="J11" i="86"/>
  <c r="J6" i="88"/>
  <c r="J10" i="88"/>
  <c r="J12" i="88"/>
  <c r="J22" i="88"/>
  <c r="J16" i="79"/>
  <c r="J13" i="80"/>
  <c r="J17" i="75"/>
  <c r="J20" i="77"/>
  <c r="J7" i="74"/>
  <c r="J45" i="74" s="1"/>
  <c r="J18" i="136"/>
  <c r="J12" i="132"/>
  <c r="J14" i="133"/>
  <c r="J12" i="147"/>
  <c r="J19" i="140"/>
  <c r="J33" i="125"/>
  <c r="J23" i="126"/>
  <c r="J40" i="69"/>
  <c r="J8" i="112"/>
  <c r="J10" i="122"/>
  <c r="J13" i="123"/>
  <c r="J5" i="116"/>
  <c r="J15" i="116"/>
  <c r="J21" i="116"/>
  <c r="J33" i="100"/>
  <c r="J25" i="95"/>
  <c r="H5" i="67"/>
  <c r="I5" i="67"/>
  <c r="J5" i="67"/>
  <c r="J11" i="67"/>
  <c r="J12" i="67"/>
  <c r="J13" i="67"/>
  <c r="J16" i="67"/>
  <c r="J6" i="113"/>
  <c r="J9" i="113" s="1"/>
  <c r="J9" i="65"/>
  <c r="J10" i="65"/>
  <c r="J22" i="65" s="1"/>
  <c r="J14" i="65"/>
  <c r="K14" i="8"/>
  <c r="J12" i="120"/>
  <c r="J28" i="88" l="1"/>
  <c r="J25" i="67"/>
  <c r="J11" i="64"/>
  <c r="J28" i="116"/>
  <c r="J22" i="132"/>
  <c r="J17" i="16"/>
  <c r="I5" i="118" l="1"/>
  <c r="J5" i="118" s="1"/>
  <c r="J11" i="118" l="1"/>
  <c r="K5" i="118"/>
  <c r="K11" i="118" s="1"/>
  <c r="I5" i="120"/>
  <c r="I10" i="88" l="1"/>
  <c r="I5" i="15" l="1"/>
  <c r="I35" i="74"/>
  <c r="I6" i="126"/>
  <c r="I10" i="123"/>
  <c r="I16" i="67"/>
  <c r="I12" i="67"/>
  <c r="I11" i="67"/>
  <c r="I6" i="102"/>
  <c r="I16" i="102" s="1"/>
  <c r="I17" i="134"/>
  <c r="I13" i="137"/>
  <c r="I6" i="101"/>
  <c r="I11" i="101" s="1"/>
  <c r="I9" i="90"/>
  <c r="I15" i="90" s="1"/>
  <c r="I5" i="16" l="1"/>
  <c r="I6" i="16"/>
  <c r="I7" i="16"/>
  <c r="I8" i="16"/>
  <c r="I9" i="16"/>
  <c r="I10" i="16"/>
  <c r="I11" i="16"/>
  <c r="I12" i="16"/>
  <c r="I13" i="16"/>
  <c r="I14" i="16"/>
  <c r="I4" i="15"/>
  <c r="I8" i="15"/>
  <c r="I12" i="15" s="1"/>
  <c r="I13" i="83"/>
  <c r="I9" i="85"/>
  <c r="I14" i="85" s="1"/>
  <c r="I16" i="135"/>
  <c r="I11" i="86"/>
  <c r="I24" i="88"/>
  <c r="I22" i="88"/>
  <c r="I18" i="79"/>
  <c r="I8" i="88"/>
  <c r="I12" i="88"/>
  <c r="I5" i="79"/>
  <c r="I16" i="79"/>
  <c r="I23" i="79" s="1"/>
  <c r="I13" i="80"/>
  <c r="I17" i="75"/>
  <c r="I20" i="77"/>
  <c r="I14" i="74"/>
  <c r="I7" i="74"/>
  <c r="I18" i="136"/>
  <c r="I11" i="132"/>
  <c r="I12" i="132"/>
  <c r="I22" i="132" s="1"/>
  <c r="I14" i="133"/>
  <c r="I22" i="153"/>
  <c r="I21" i="153"/>
  <c r="I5" i="147"/>
  <c r="I12" i="147" s="1"/>
  <c r="I19" i="140"/>
  <c r="I33" i="125"/>
  <c r="I21" i="126"/>
  <c r="I9" i="126"/>
  <c r="I40" i="69"/>
  <c r="I8" i="112"/>
  <c r="I10" i="122"/>
  <c r="I13" i="123"/>
  <c r="I12" i="116"/>
  <c r="I10" i="116"/>
  <c r="I5" i="116"/>
  <c r="I15" i="116"/>
  <c r="I21" i="116"/>
  <c r="I33" i="100"/>
  <c r="I25" i="95"/>
  <c r="I13" i="67"/>
  <c r="I25" i="67" s="1"/>
  <c r="I6" i="113"/>
  <c r="I9" i="113" s="1"/>
  <c r="I13" i="65"/>
  <c r="I10" i="65"/>
  <c r="I9" i="65"/>
  <c r="I14" i="65"/>
  <c r="I7" i="65"/>
  <c r="I22" i="65" s="1"/>
  <c r="I8" i="65"/>
  <c r="I7" i="64"/>
  <c r="I6" i="64"/>
  <c r="I14" i="8"/>
  <c r="I11" i="118"/>
  <c r="I12" i="120"/>
  <c r="J18" i="141"/>
  <c r="J9" i="141"/>
  <c r="J8" i="141"/>
  <c r="J3" i="141"/>
  <c r="I11" i="64" l="1"/>
  <c r="I28" i="116"/>
  <c r="I6" i="115" s="1"/>
  <c r="I23" i="126"/>
  <c r="I45" i="74"/>
  <c r="I17" i="16"/>
  <c r="I28" i="88"/>
  <c r="I4" i="141" l="1"/>
  <c r="H5" i="120" l="1"/>
  <c r="H5" i="15" l="1"/>
  <c r="H22" i="88"/>
  <c r="H23" i="88"/>
  <c r="H18" i="79"/>
  <c r="H16" i="79"/>
  <c r="H5" i="79"/>
  <c r="H27" i="116"/>
  <c r="H11" i="65"/>
  <c r="H10" i="65"/>
  <c r="H9" i="65"/>
  <c r="H6" i="64"/>
  <c r="H9" i="90" l="1"/>
  <c r="H14" i="16" l="1"/>
  <c r="H8" i="15"/>
  <c r="H24" i="88"/>
  <c r="H12" i="88"/>
  <c r="H10" i="88"/>
  <c r="H19" i="116"/>
  <c r="H17" i="116"/>
  <c r="H12" i="116"/>
  <c r="H10" i="116"/>
  <c r="H5" i="116"/>
  <c r="D7" i="117"/>
  <c r="H22" i="67"/>
  <c r="H16" i="67"/>
  <c r="H16" i="65"/>
  <c r="D35" i="117" l="1"/>
  <c r="D24" i="117"/>
  <c r="H31" i="69"/>
  <c r="H21" i="116"/>
  <c r="H21" i="126" l="1"/>
  <c r="H6" i="102" l="1"/>
  <c r="H6" i="101"/>
  <c r="H8" i="88"/>
  <c r="H6" i="88"/>
  <c r="H14" i="74"/>
  <c r="H9" i="126"/>
  <c r="H6" i="126"/>
  <c r="H21" i="67"/>
  <c r="H7" i="64"/>
  <c r="H14" i="65"/>
  <c r="H8" i="65"/>
  <c r="H7" i="65"/>
  <c r="G6" i="102" l="1"/>
  <c r="G16" i="102" s="1"/>
  <c r="G17" i="134"/>
  <c r="G13" i="137"/>
  <c r="G6" i="101"/>
  <c r="G11" i="101" s="1"/>
  <c r="G15" i="90"/>
  <c r="G14" i="16"/>
  <c r="G13" i="16"/>
  <c r="G12" i="16"/>
  <c r="G11" i="16"/>
  <c r="G10" i="16"/>
  <c r="G9" i="16"/>
  <c r="G8" i="16"/>
  <c r="G7" i="16"/>
  <c r="G6" i="16"/>
  <c r="G5" i="16"/>
  <c r="G8" i="15"/>
  <c r="G5" i="15"/>
  <c r="G4" i="15"/>
  <c r="G13" i="83"/>
  <c r="G9" i="85"/>
  <c r="G14" i="85" s="1"/>
  <c r="G16" i="135"/>
  <c r="G11" i="86"/>
  <c r="G12" i="88"/>
  <c r="G10" i="88"/>
  <c r="G6" i="88"/>
  <c r="G18" i="79"/>
  <c r="G16" i="79"/>
  <c r="G5" i="79"/>
  <c r="G23" i="79" s="1"/>
  <c r="G13" i="80"/>
  <c r="G17" i="75"/>
  <c r="G8" i="77"/>
  <c r="G20" i="77" s="1"/>
  <c r="G7" i="74"/>
  <c r="G45" i="74" s="1"/>
  <c r="G18" i="136"/>
  <c r="H17" i="132"/>
  <c r="G17" i="132"/>
  <c r="G12" i="132"/>
  <c r="G11" i="132"/>
  <c r="G9" i="132"/>
  <c r="G7" i="132"/>
  <c r="G14" i="133"/>
  <c r="G22" i="153"/>
  <c r="G21" i="153"/>
  <c r="G9" i="153"/>
  <c r="G6" i="153"/>
  <c r="G28" i="153" s="1"/>
  <c r="G12" i="147"/>
  <c r="G19" i="140"/>
  <c r="G33" i="125"/>
  <c r="G20" i="126"/>
  <c r="G6" i="126"/>
  <c r="G40" i="69"/>
  <c r="G8" i="112"/>
  <c r="G10" i="122"/>
  <c r="G10" i="123"/>
  <c r="G13" i="123" s="1"/>
  <c r="G21" i="116"/>
  <c r="G19" i="116"/>
  <c r="G17" i="116"/>
  <c r="G15" i="116"/>
  <c r="G12" i="116"/>
  <c r="G10" i="116"/>
  <c r="G5" i="116"/>
  <c r="G33" i="100"/>
  <c r="G25" i="95"/>
  <c r="G19" i="67"/>
  <c r="G13" i="67"/>
  <c r="G12" i="67"/>
  <c r="G11" i="67"/>
  <c r="G9" i="113"/>
  <c r="G16" i="65"/>
  <c r="G13" i="65"/>
  <c r="G11" i="65"/>
  <c r="G10" i="65"/>
  <c r="G9" i="65"/>
  <c r="G8" i="65"/>
  <c r="G7" i="65"/>
  <c r="G6" i="65"/>
  <c r="G6" i="64"/>
  <c r="G11" i="64" s="1"/>
  <c r="G14" i="8"/>
  <c r="G11" i="118"/>
  <c r="G5" i="120"/>
  <c r="G4" i="120"/>
  <c r="H4" i="141"/>
  <c r="H3" i="141"/>
  <c r="G7" i="141"/>
  <c r="H7" i="141" s="1"/>
  <c r="I7" i="141" s="1"/>
  <c r="J7" i="141" s="1"/>
  <c r="L24" i="141" s="1"/>
  <c r="G12" i="15" l="1"/>
  <c r="K24" i="141"/>
  <c r="O10" i="141" s="1"/>
  <c r="J5" i="119"/>
  <c r="J12" i="119" s="1"/>
  <c r="I5" i="119"/>
  <c r="I12" i="119" s="1"/>
  <c r="J24" i="141"/>
  <c r="G12" i="120"/>
  <c r="G25" i="67"/>
  <c r="G28" i="116"/>
  <c r="G6" i="115" s="1"/>
  <c r="G23" i="126"/>
  <c r="G22" i="65"/>
  <c r="G22" i="132"/>
  <c r="G28" i="88"/>
  <c r="G17" i="16"/>
  <c r="G5" i="119"/>
  <c r="G12" i="119" s="1"/>
  <c r="H24" i="141"/>
  <c r="F13" i="135" l="1"/>
  <c r="H9" i="153"/>
  <c r="H5" i="16" l="1"/>
  <c r="H6" i="16"/>
  <c r="H7" i="16"/>
  <c r="H8" i="16"/>
  <c r="H9" i="16"/>
  <c r="H10" i="16"/>
  <c r="H11" i="16"/>
  <c r="H12" i="16"/>
  <c r="H13" i="16"/>
  <c r="H12" i="67" l="1"/>
  <c r="I3" i="141" l="1"/>
  <c r="H11" i="67"/>
  <c r="H13" i="67"/>
  <c r="E24" i="117"/>
  <c r="H15" i="116"/>
  <c r="H11" i="132"/>
  <c r="H12" i="132"/>
  <c r="H7" i="74"/>
  <c r="H8" i="77"/>
  <c r="H4" i="15"/>
  <c r="H9" i="85"/>
  <c r="H13" i="65"/>
  <c r="H22" i="65" s="1"/>
  <c r="F5" i="119"/>
  <c r="F12" i="119" s="1"/>
  <c r="F16" i="102"/>
  <c r="F17" i="134"/>
  <c r="F13" i="137"/>
  <c r="F6" i="101"/>
  <c r="F11" i="101" s="1"/>
  <c r="F15" i="90"/>
  <c r="F14" i="16"/>
  <c r="F13" i="16"/>
  <c r="F12" i="16"/>
  <c r="F11" i="16"/>
  <c r="F10" i="16"/>
  <c r="F9" i="16"/>
  <c r="F8" i="16"/>
  <c r="F7" i="16"/>
  <c r="F6" i="16"/>
  <c r="F5" i="16"/>
  <c r="F8" i="15"/>
  <c r="F7" i="15"/>
  <c r="F5" i="15"/>
  <c r="F4" i="15"/>
  <c r="F13" i="83"/>
  <c r="F9" i="85"/>
  <c r="F14" i="85" s="1"/>
  <c r="F16" i="135"/>
  <c r="F11" i="86"/>
  <c r="F21" i="88"/>
  <c r="F20" i="88"/>
  <c r="F12" i="88"/>
  <c r="F10" i="88"/>
  <c r="F6" i="88"/>
  <c r="F16" i="79"/>
  <c r="F23" i="79" s="1"/>
  <c r="F13" i="80"/>
  <c r="F17" i="75"/>
  <c r="F8" i="77"/>
  <c r="F20" i="77" s="1"/>
  <c r="F7" i="74"/>
  <c r="F45" i="74" s="1"/>
  <c r="F18" i="136"/>
  <c r="F17" i="132"/>
  <c r="F12" i="132"/>
  <c r="F11" i="132"/>
  <c r="F9" i="132"/>
  <c r="F7" i="132"/>
  <c r="F14" i="133"/>
  <c r="F16" i="153"/>
  <c r="F17" i="153"/>
  <c r="F22" i="153"/>
  <c r="F21" i="153"/>
  <c r="F12" i="147"/>
  <c r="F19" i="140"/>
  <c r="F33" i="125"/>
  <c r="F23" i="126"/>
  <c r="F27" i="69"/>
  <c r="F40" i="69" s="1"/>
  <c r="F8" i="112"/>
  <c r="F10" i="122"/>
  <c r="F13" i="123"/>
  <c r="F19" i="116"/>
  <c r="F17" i="116"/>
  <c r="F15" i="116"/>
  <c r="F12" i="116"/>
  <c r="F10" i="116"/>
  <c r="F5" i="116"/>
  <c r="F26" i="100"/>
  <c r="F25" i="100"/>
  <c r="F25" i="95"/>
  <c r="F19" i="67"/>
  <c r="F18" i="67"/>
  <c r="F13" i="67"/>
  <c r="F12" i="67"/>
  <c r="F11" i="67"/>
  <c r="F9" i="113"/>
  <c r="F15" i="65"/>
  <c r="F13" i="65"/>
  <c r="F11" i="65"/>
  <c r="F10" i="65"/>
  <c r="F9" i="65"/>
  <c r="F8" i="65"/>
  <c r="F7" i="65"/>
  <c r="F6" i="65"/>
  <c r="F6" i="64"/>
  <c r="F11" i="64" s="1"/>
  <c r="F9" i="8"/>
  <c r="F8" i="8"/>
  <c r="F11" i="118"/>
  <c r="F5" i="120"/>
  <c r="F12" i="120" s="1"/>
  <c r="G21" i="141"/>
  <c r="G13" i="141"/>
  <c r="G12" i="141"/>
  <c r="G4" i="141"/>
  <c r="D11" i="105"/>
  <c r="D56" i="105" s="1"/>
  <c r="F22" i="65" l="1"/>
  <c r="F25" i="67"/>
  <c r="F14" i="8"/>
  <c r="F33" i="100"/>
  <c r="F22" i="132"/>
  <c r="F12" i="15"/>
  <c r="F17" i="16"/>
  <c r="G24" i="141"/>
  <c r="F28" i="116"/>
  <c r="F28" i="88"/>
  <c r="F12" i="115" l="1"/>
  <c r="G12" i="115"/>
  <c r="H23" i="79"/>
  <c r="D45" i="117"/>
  <c r="E9" i="8" l="1"/>
  <c r="E6" i="101" l="1"/>
  <c r="D6" i="101"/>
  <c r="E10" i="90"/>
  <c r="E13" i="16"/>
  <c r="E12" i="16"/>
  <c r="E11" i="16"/>
  <c r="E10" i="16"/>
  <c r="E9" i="16"/>
  <c r="E8" i="16"/>
  <c r="E7" i="16"/>
  <c r="E6" i="16"/>
  <c r="E5" i="16"/>
  <c r="E7" i="15"/>
  <c r="D7" i="15"/>
  <c r="E5" i="15"/>
  <c r="D5" i="15"/>
  <c r="E4" i="15"/>
  <c r="D4" i="15"/>
  <c r="E9" i="85"/>
  <c r="D9" i="85"/>
  <c r="E11" i="135"/>
  <c r="E10" i="135"/>
  <c r="E9" i="135"/>
  <c r="E8" i="135"/>
  <c r="E7" i="135"/>
  <c r="E6" i="135"/>
  <c r="E19" i="88"/>
  <c r="E18" i="88"/>
  <c r="E12" i="88"/>
  <c r="E10" i="88"/>
  <c r="D10" i="88"/>
  <c r="E6" i="88"/>
  <c r="E16" i="79"/>
  <c r="D16" i="79"/>
  <c r="E8" i="80"/>
  <c r="D14" i="77"/>
  <c r="E8" i="77"/>
  <c r="D8" i="77"/>
  <c r="E24" i="74"/>
  <c r="E22" i="74"/>
  <c r="E21" i="74"/>
  <c r="E20" i="74"/>
  <c r="D20" i="74"/>
  <c r="E14" i="74"/>
  <c r="D14" i="74"/>
  <c r="D13" i="74"/>
  <c r="D8" i="74"/>
  <c r="E7" i="74"/>
  <c r="D7" i="74"/>
  <c r="E6" i="74"/>
  <c r="D6" i="74"/>
  <c r="E17" i="132"/>
  <c r="D17" i="132"/>
  <c r="E12" i="132"/>
  <c r="D12" i="132"/>
  <c r="E11" i="132"/>
  <c r="D11" i="132"/>
  <c r="E9" i="132"/>
  <c r="D9" i="132"/>
  <c r="E7" i="132"/>
  <c r="D7" i="132"/>
  <c r="E28" i="153"/>
  <c r="E15" i="140"/>
  <c r="D6" i="140"/>
  <c r="E15" i="126"/>
  <c r="D17" i="69"/>
  <c r="D5" i="112"/>
  <c r="E19" i="116"/>
  <c r="D19" i="116"/>
  <c r="E17" i="116"/>
  <c r="D17" i="116"/>
  <c r="E15" i="116"/>
  <c r="D15" i="116"/>
  <c r="D14" i="116"/>
  <c r="E12" i="116"/>
  <c r="D12" i="116"/>
  <c r="E10" i="116"/>
  <c r="D10" i="116"/>
  <c r="D8" i="116"/>
  <c r="E5" i="116"/>
  <c r="E11" i="100"/>
  <c r="E14" i="65"/>
  <c r="E13" i="65"/>
  <c r="E10" i="65"/>
  <c r="D10" i="65"/>
  <c r="E9" i="65"/>
  <c r="D9" i="65"/>
  <c r="E8" i="65"/>
  <c r="D8" i="65"/>
  <c r="E7" i="65"/>
  <c r="D7" i="65"/>
  <c r="E6" i="65"/>
  <c r="D6" i="65"/>
  <c r="E6" i="64"/>
  <c r="D12" i="8"/>
  <c r="C10" i="8"/>
  <c r="C9" i="8"/>
  <c r="C8" i="8"/>
  <c r="D5" i="118"/>
  <c r="E5" i="119"/>
  <c r="D5" i="119"/>
  <c r="E5" i="120"/>
  <c r="D5" i="120"/>
  <c r="E4" i="120"/>
  <c r="D4" i="120"/>
  <c r="F13" i="141"/>
  <c r="F12" i="141"/>
  <c r="F9" i="141"/>
  <c r="H22" i="153" l="1"/>
  <c r="H21" i="153" l="1"/>
  <c r="H33" i="125"/>
  <c r="H5" i="119"/>
  <c r="C25" i="67"/>
  <c r="D25" i="67"/>
  <c r="H25" i="67"/>
  <c r="E25" i="67"/>
  <c r="D14" i="117" l="1"/>
  <c r="D44" i="117"/>
  <c r="D43" i="117"/>
  <c r="D42" i="117"/>
  <c r="D29" i="117"/>
  <c r="D15" i="117"/>
  <c r="D8" i="117"/>
  <c r="D5" i="117"/>
  <c r="D22" i="117" s="1"/>
  <c r="D4" i="117"/>
  <c r="D21" i="117" l="1"/>
  <c r="D13" i="117"/>
  <c r="D25" i="117"/>
  <c r="D36" i="117"/>
  <c r="D16" i="117"/>
  <c r="D33" i="117"/>
  <c r="E33" i="117" s="1"/>
  <c r="F7" i="105"/>
  <c r="F11" i="105" s="1"/>
  <c r="E18" i="136"/>
  <c r="D18" i="136"/>
  <c r="C18" i="136"/>
  <c r="D22" i="132"/>
  <c r="C22" i="132"/>
  <c r="E22" i="132"/>
  <c r="I24" i="141"/>
  <c r="E36" i="117" l="1"/>
  <c r="E35" i="117"/>
  <c r="E37" i="117" s="1"/>
  <c r="E29" i="117"/>
  <c r="E30" i="117" s="1"/>
  <c r="E25" i="117"/>
  <c r="E23" i="117"/>
  <c r="E22" i="117"/>
  <c r="E21" i="117"/>
  <c r="E16" i="117"/>
  <c r="E15" i="117"/>
  <c r="E14" i="117"/>
  <c r="E13" i="117"/>
  <c r="E8" i="117"/>
  <c r="E7" i="117"/>
  <c r="E4" i="117"/>
  <c r="E5" i="117"/>
  <c r="E6" i="117"/>
  <c r="E18" i="117" l="1"/>
  <c r="E26" i="117"/>
  <c r="E10" i="117"/>
  <c r="K23" i="79" l="1"/>
  <c r="L23" i="79"/>
  <c r="F40" i="105" s="1"/>
  <c r="H28" i="88" l="1"/>
  <c r="E14" i="8"/>
  <c r="H16" i="135" l="1"/>
  <c r="C13" i="137" l="1"/>
  <c r="D13" i="137"/>
  <c r="E13" i="137"/>
  <c r="H13" i="137"/>
  <c r="B12" i="137"/>
  <c r="B13" i="137" s="1"/>
  <c r="B15" i="135"/>
  <c r="E41" i="117"/>
  <c r="E42" i="117"/>
  <c r="E43" i="117"/>
  <c r="E44" i="117"/>
  <c r="E45" i="117"/>
  <c r="E46" i="117"/>
  <c r="E47" i="117"/>
  <c r="E48" i="117"/>
  <c r="E40" i="117"/>
  <c r="H16" i="102"/>
  <c r="H17" i="134"/>
  <c r="F14" i="139"/>
  <c r="H11" i="101"/>
  <c r="H15" i="90"/>
  <c r="H17" i="16"/>
  <c r="H12" i="15"/>
  <c r="H13" i="83"/>
  <c r="H14" i="85"/>
  <c r="H11" i="86"/>
  <c r="E50" i="117" l="1"/>
  <c r="E52" i="117" s="1"/>
  <c r="H13" i="80"/>
  <c r="H17" i="75"/>
  <c r="H20" i="77"/>
  <c r="H45" i="74"/>
  <c r="H18" i="136"/>
  <c r="H22" i="132"/>
  <c r="H14" i="133"/>
  <c r="H12" i="147"/>
  <c r="H19" i="140"/>
  <c r="H23" i="126"/>
  <c r="H40" i="69"/>
  <c r="H8" i="112"/>
  <c r="H10" i="122"/>
  <c r="H13" i="123"/>
  <c r="H28" i="116"/>
  <c r="H6" i="115" s="1"/>
  <c r="H33" i="100"/>
  <c r="H25" i="95"/>
  <c r="H9" i="113"/>
  <c r="H11" i="64"/>
  <c r="E11" i="118"/>
  <c r="E12" i="119"/>
  <c r="E12" i="120"/>
  <c r="F24" i="141"/>
  <c r="E23" i="79"/>
  <c r="E13" i="123"/>
  <c r="E40" i="69"/>
  <c r="D40" i="69"/>
  <c r="C40" i="69"/>
  <c r="B40" i="69"/>
  <c r="E11" i="64"/>
  <c r="D11" i="64"/>
  <c r="C11" i="64"/>
  <c r="B11" i="64"/>
  <c r="D12" i="119"/>
  <c r="K12" i="115" l="1"/>
  <c r="L5" i="115"/>
  <c r="L12" i="115" s="1"/>
  <c r="F22" i="105" s="1"/>
  <c r="D28" i="153"/>
  <c r="C28" i="153"/>
  <c r="D16" i="102"/>
  <c r="C16" i="102"/>
  <c r="B16" i="102"/>
  <c r="D17" i="134"/>
  <c r="C17" i="134"/>
  <c r="B17" i="134"/>
  <c r="D14" i="139"/>
  <c r="C14" i="139"/>
  <c r="B14" i="139"/>
  <c r="D11" i="101"/>
  <c r="C11" i="101"/>
  <c r="B11" i="101"/>
  <c r="D15" i="90"/>
  <c r="C15" i="90"/>
  <c r="B15" i="90"/>
  <c r="D17" i="16"/>
  <c r="C17" i="16"/>
  <c r="B17" i="16"/>
  <c r="D12" i="15"/>
  <c r="C12" i="15"/>
  <c r="B12" i="15"/>
  <c r="D13" i="83"/>
  <c r="C13" i="83"/>
  <c r="B13" i="83"/>
  <c r="D14" i="85"/>
  <c r="C14" i="85"/>
  <c r="B14" i="85"/>
  <c r="D16" i="135"/>
  <c r="C16" i="135"/>
  <c r="B16" i="135"/>
  <c r="D11" i="86"/>
  <c r="C11" i="86"/>
  <c r="B11" i="86"/>
  <c r="D28" i="88"/>
  <c r="C28" i="88"/>
  <c r="B28" i="88"/>
  <c r="D23" i="79"/>
  <c r="C23" i="79"/>
  <c r="B23" i="79"/>
  <c r="D13" i="80"/>
  <c r="C13" i="80"/>
  <c r="B13" i="80"/>
  <c r="D17" i="75"/>
  <c r="C17" i="75"/>
  <c r="B17" i="75"/>
  <c r="D20" i="77"/>
  <c r="C20" i="77"/>
  <c r="B20" i="77"/>
  <c r="D45" i="74"/>
  <c r="C45" i="74"/>
  <c r="B45" i="74"/>
  <c r="B18" i="136"/>
  <c r="B22" i="132"/>
  <c r="D14" i="133"/>
  <c r="C14" i="133"/>
  <c r="B14" i="133"/>
  <c r="D12" i="147"/>
  <c r="C12" i="147"/>
  <c r="D19" i="140"/>
  <c r="C19" i="140"/>
  <c r="B19" i="140"/>
  <c r="D33" i="125"/>
  <c r="C33" i="125"/>
  <c r="B33" i="125"/>
  <c r="D23" i="126"/>
  <c r="C23" i="126"/>
  <c r="B23" i="126"/>
  <c r="D8" i="112"/>
  <c r="C8" i="112"/>
  <c r="B8" i="112"/>
  <c r="D10" i="122"/>
  <c r="C10" i="122"/>
  <c r="B10" i="122"/>
  <c r="D13" i="123"/>
  <c r="C13" i="123"/>
  <c r="B13" i="123"/>
  <c r="D28" i="116"/>
  <c r="D6" i="115" s="1"/>
  <c r="C28" i="116"/>
  <c r="C6" i="115" s="1"/>
  <c r="C12" i="115" s="1"/>
  <c r="B28" i="116"/>
  <c r="B12" i="115"/>
  <c r="D33" i="100"/>
  <c r="C33" i="100"/>
  <c r="B33" i="100"/>
  <c r="D25" i="95"/>
  <c r="C25" i="95"/>
  <c r="B25" i="95"/>
  <c r="B25" i="67"/>
  <c r="D9" i="113"/>
  <c r="C9" i="113"/>
  <c r="B9" i="113"/>
  <c r="D22" i="65"/>
  <c r="C22" i="65"/>
  <c r="B22" i="65"/>
  <c r="C14" i="8" l="1"/>
  <c r="B14" i="8"/>
  <c r="D11" i="118"/>
  <c r="C11" i="118"/>
  <c r="B11" i="118"/>
  <c r="C12" i="119"/>
  <c r="B12" i="119"/>
  <c r="H12" i="120"/>
  <c r="D12" i="120"/>
  <c r="C12" i="120"/>
  <c r="B12" i="120"/>
  <c r="E14" i="139" l="1"/>
  <c r="E14" i="85"/>
  <c r="E16" i="135"/>
  <c r="E11" i="86"/>
  <c r="E28" i="88"/>
  <c r="E45" i="74"/>
  <c r="E19" i="140"/>
  <c r="H12" i="119"/>
  <c r="J23" i="79" l="1"/>
  <c r="M13" i="153" l="1"/>
  <c r="D24" i="141"/>
  <c r="E16" i="102" l="1"/>
  <c r="E11" i="101"/>
  <c r="I28" i="153" l="1"/>
  <c r="H28" i="153"/>
  <c r="E17" i="75"/>
  <c r="E14" i="133"/>
  <c r="F31" i="105" l="1"/>
  <c r="F53" i="105" s="1"/>
  <c r="F56" i="105" s="1"/>
  <c r="K28" i="153"/>
  <c r="E33" i="125"/>
  <c r="E23" i="126"/>
  <c r="E33" i="100"/>
  <c r="I36" i="128" l="1"/>
  <c r="G37" i="128"/>
  <c r="F37" i="128"/>
  <c r="D37" i="128"/>
  <c r="B37" i="128"/>
  <c r="C35" i="128"/>
  <c r="I35" i="128" s="1"/>
  <c r="I27" i="128"/>
  <c r="H31" i="128" l="1"/>
  <c r="H30" i="128"/>
  <c r="H29" i="128"/>
  <c r="H28" i="128"/>
  <c r="H25" i="128"/>
  <c r="H24" i="128"/>
  <c r="H23" i="128"/>
  <c r="H22" i="128"/>
  <c r="H21" i="128"/>
  <c r="H20" i="128"/>
  <c r="H19" i="128"/>
  <c r="H18" i="128"/>
  <c r="H17" i="128"/>
  <c r="H16" i="128"/>
  <c r="H15" i="128"/>
  <c r="H14" i="128"/>
  <c r="H7" i="128"/>
  <c r="H12" i="128"/>
  <c r="H5" i="128"/>
  <c r="H10" i="128"/>
  <c r="H13" i="128"/>
  <c r="H8" i="128"/>
  <c r="H6" i="128"/>
  <c r="H11" i="128"/>
  <c r="H9" i="128"/>
  <c r="H4" i="128"/>
  <c r="H3" i="128"/>
  <c r="H2" i="128"/>
  <c r="H37" i="128" s="1"/>
  <c r="E34" i="128"/>
  <c r="E33" i="128"/>
  <c r="E32" i="128"/>
  <c r="E31" i="128"/>
  <c r="E30" i="128"/>
  <c r="E29" i="128"/>
  <c r="E28" i="128"/>
  <c r="C32" i="128"/>
  <c r="I32" i="128" s="1"/>
  <c r="E26" i="128"/>
  <c r="E25" i="128"/>
  <c r="E24" i="128"/>
  <c r="E22" i="128"/>
  <c r="E21" i="128"/>
  <c r="E23" i="128"/>
  <c r="E20" i="128"/>
  <c r="E19" i="128"/>
  <c r="E18" i="128"/>
  <c r="E17" i="128"/>
  <c r="E16" i="128"/>
  <c r="E15" i="128"/>
  <c r="E14" i="128"/>
  <c r="E7" i="128"/>
  <c r="E12" i="128"/>
  <c r="E5" i="128"/>
  <c r="E10" i="128"/>
  <c r="E13" i="128"/>
  <c r="E8" i="128"/>
  <c r="E6" i="128"/>
  <c r="E11" i="128"/>
  <c r="E9" i="128"/>
  <c r="E4" i="128"/>
  <c r="E3" i="128"/>
  <c r="E2" i="128"/>
  <c r="C22" i="128"/>
  <c r="E37" i="128" l="1"/>
  <c r="I22" i="128"/>
  <c r="E8" i="112" l="1"/>
  <c r="H14" i="8"/>
  <c r="D14" i="8"/>
  <c r="E12" i="147" l="1"/>
  <c r="E10" i="122"/>
  <c r="E28" i="116"/>
  <c r="E25" i="95"/>
  <c r="E9" i="113"/>
  <c r="E22" i="65"/>
  <c r="H11" i="118"/>
  <c r="C24" i="141"/>
  <c r="C33" i="128" l="1"/>
  <c r="I33" i="128" s="1"/>
  <c r="C21" i="128"/>
  <c r="I21" i="128" s="1"/>
  <c r="E17" i="134" l="1"/>
  <c r="E15" i="90" l="1"/>
  <c r="E17" i="16"/>
  <c r="E12" i="15"/>
  <c r="E13" i="83"/>
  <c r="E13" i="80"/>
  <c r="E20" i="77"/>
  <c r="D12" i="115" l="1"/>
  <c r="C29" i="128" l="1"/>
  <c r="I29" i="128" s="1"/>
  <c r="C20" i="128"/>
  <c r="I20" i="128" s="1"/>
  <c r="C19" i="128"/>
  <c r="I19" i="128" s="1"/>
  <c r="C18" i="128"/>
  <c r="I18" i="128" s="1"/>
  <c r="I12" i="115" l="1"/>
  <c r="J12" i="115"/>
  <c r="E12" i="115"/>
  <c r="H12" i="115"/>
  <c r="C8" i="128"/>
  <c r="I8" i="128" s="1"/>
  <c r="E24" i="141"/>
  <c r="C24" i="128"/>
  <c r="I24" i="128" s="1"/>
  <c r="C15" i="128"/>
  <c r="I15" i="128" s="1"/>
  <c r="C26" i="128"/>
  <c r="I26" i="128" s="1"/>
  <c r="C25" i="128"/>
  <c r="I25" i="128" s="1"/>
  <c r="C7" i="128"/>
  <c r="I7" i="128" s="1"/>
  <c r="C28" i="128"/>
  <c r="I28" i="128" s="1"/>
  <c r="C30" i="128"/>
  <c r="I30" i="128" s="1"/>
  <c r="C31" i="128"/>
  <c r="I31" i="128" s="1"/>
  <c r="C3" i="128"/>
  <c r="I3" i="128" s="1"/>
  <c r="C4" i="128"/>
  <c r="I4" i="128" s="1"/>
  <c r="C2" i="128"/>
  <c r="I2" i="128" s="1"/>
  <c r="C9" i="128"/>
  <c r="I9" i="128" s="1"/>
  <c r="C6" i="128"/>
  <c r="I6" i="128" s="1"/>
  <c r="C11" i="128"/>
  <c r="I11" i="128" s="1"/>
  <c r="C13" i="128"/>
  <c r="I13" i="128" s="1"/>
  <c r="C12" i="128"/>
  <c r="I12" i="128" s="1"/>
  <c r="C10" i="128"/>
  <c r="I10" i="128" s="1"/>
  <c r="C5" i="128"/>
  <c r="I5" i="128" s="1"/>
  <c r="C14" i="128"/>
  <c r="I14" i="128" s="1"/>
  <c r="C16" i="128"/>
  <c r="I16" i="128" s="1"/>
  <c r="C17" i="128"/>
  <c r="I17" i="128" s="1"/>
  <c r="C23" i="128"/>
  <c r="I23" i="128" s="1"/>
  <c r="C34" i="128"/>
  <c r="I34" i="128" s="1"/>
  <c r="C37" i="128" l="1"/>
  <c r="C38" i="128" s="1"/>
  <c r="I37" i="128"/>
  <c r="F15" i="153" l="1"/>
  <c r="F28" i="153" s="1"/>
  <c r="J28" i="153"/>
</calcChain>
</file>

<file path=xl/sharedStrings.xml><?xml version="1.0" encoding="utf-8"?>
<sst xmlns="http://schemas.openxmlformats.org/spreadsheetml/2006/main" count="868" uniqueCount="686">
  <si>
    <t>Anti-virus annual renewal - Trend Micro</t>
  </si>
  <si>
    <t>Class B Foam (32, 5 gall @ 70)</t>
  </si>
  <si>
    <t>HazMat equipment and supplies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</si>
  <si>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</si>
  <si>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</si>
  <si>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</si>
  <si>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</si>
  <si>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</si>
  <si>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</si>
  <si>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</si>
  <si>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</si>
  <si>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</si>
  <si>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</si>
  <si>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Stationery supplies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</si>
  <si>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</si>
  <si>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</si>
  <si>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</si>
  <si>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</si>
  <si>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</si>
  <si>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</si>
  <si>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</si>
  <si>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</si>
  <si>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</si>
  <si>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</si>
  <si>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Lawn Care Supplies (Weed Killer, Trash bags,  Lawn Tools)</t>
  </si>
  <si>
    <t>Causes &amp; suits etc. - estimate</t>
  </si>
  <si>
    <t>Loan repayment</t>
  </si>
  <si>
    <t>Employee &amp; Member Recognition</t>
  </si>
  <si>
    <t>Workers' Comp - Volunteers (7704V)</t>
  </si>
  <si>
    <t>PROTECTIVE GEAR  WORKSHEET</t>
  </si>
  <si>
    <t>Awards &amp; Recognition - general, includes medals &amp; pins</t>
  </si>
  <si>
    <t>Awards Banquet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</si>
  <si>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</si>
  <si>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</si>
  <si>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</si>
  <si>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</si>
  <si>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</si>
  <si>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</si>
  <si>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</si>
  <si>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Wells Fargo Bank - engines (March)*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</si>
  <si>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</si>
  <si>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</si>
  <si>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</si>
  <si>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</si>
  <si>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</si>
  <si>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</si>
  <si>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</si>
  <si>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</si>
  <si>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</si>
  <si>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</si>
  <si>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</si>
  <si>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</si>
  <si>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</si>
  <si>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</si>
  <si>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</si>
  <si>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</si>
  <si>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</si>
  <si>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</si>
  <si>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</si>
  <si>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</si>
  <si>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</si>
  <si>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</si>
  <si>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</si>
  <si>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</si>
  <si>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</si>
  <si>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</si>
  <si>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</si>
  <si>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Gear repair and accessories</t>
  </si>
  <si>
    <t>Replacement of Air Packs (incremental)</t>
  </si>
  <si>
    <t>Smoke Machine fluid</t>
  </si>
  <si>
    <t>Miscellaneous job postings</t>
  </si>
  <si>
    <t xml:space="preserve">Stickers with Fire Department Logo </t>
  </si>
  <si>
    <t>Vehicle Maintenance &amp; Repairs</t>
  </si>
  <si>
    <t>SCBA mask disinfectant</t>
  </si>
  <si>
    <t>Apparatus annual pump certification</t>
  </si>
  <si>
    <t>Aerial and ground ladder testing</t>
  </si>
  <si>
    <t>TOTAL</t>
  </si>
  <si>
    <t>Fuel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</si>
  <si>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</si>
  <si>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</si>
  <si>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</si>
  <si>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</si>
  <si>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</si>
  <si>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</si>
  <si>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</si>
  <si>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</si>
  <si>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</si>
  <si>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</si>
  <si>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</si>
  <si>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</si>
  <si>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</si>
  <si>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</si>
  <si>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</si>
  <si>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</si>
  <si>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</si>
  <si>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</si>
  <si>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</si>
  <si>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Quantity</t>
  </si>
  <si>
    <t xml:space="preserve">Cost </t>
  </si>
  <si>
    <t>Total</t>
  </si>
  <si>
    <t>Nomex Shirt</t>
  </si>
  <si>
    <t>Nomex Pants</t>
  </si>
  <si>
    <t>PART-TIME FIGHTER</t>
  </si>
  <si>
    <t>VOLUNTEER UNIFORMS</t>
  </si>
  <si>
    <t>Jackets</t>
  </si>
  <si>
    <t>Badges</t>
  </si>
  <si>
    <t>Quarterly Air Test</t>
  </si>
  <si>
    <t>Misc. SCBA Parts</t>
  </si>
  <si>
    <t>Semiannual Cascade Maintenance</t>
  </si>
  <si>
    <t>Absorbent</t>
  </si>
  <si>
    <t xml:space="preserve">TOTAL </t>
  </si>
  <si>
    <t>Apparatus Fuel</t>
  </si>
  <si>
    <t xml:space="preserve">Capital Area Fire Chiefs Association  </t>
  </si>
  <si>
    <t>EMT Pants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</si>
  <si>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</si>
  <si>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</si>
  <si>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</si>
  <si>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</si>
  <si>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</si>
  <si>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</si>
  <si>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</si>
  <si>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</si>
  <si>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</si>
  <si>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</si>
  <si>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</si>
  <si>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</si>
  <si>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</si>
  <si>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</si>
  <si>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</si>
  <si>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</si>
  <si>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</si>
  <si>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</si>
  <si>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</si>
  <si>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</si>
  <si>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</si>
  <si>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</si>
  <si>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</si>
  <si>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</si>
  <si>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</si>
  <si>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</si>
  <si>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</si>
  <si>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Training- Fire &amp; Rescue</t>
  </si>
  <si>
    <t>Fire Prevention Supplies</t>
  </si>
  <si>
    <t>Transmission Service</t>
  </si>
  <si>
    <t>Tires</t>
  </si>
  <si>
    <t>Emergency lighting</t>
  </si>
  <si>
    <t>From Uniform WS</t>
  </si>
  <si>
    <t>From Protective Gear WS</t>
  </si>
  <si>
    <t>Map Books</t>
  </si>
  <si>
    <t>Wildland hose</t>
  </si>
  <si>
    <t>Wildland nozzles</t>
  </si>
  <si>
    <t>Wildland tools &amp; accessories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</si>
  <si>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</si>
  <si>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</si>
  <si>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</si>
  <si>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</si>
  <si>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</si>
  <si>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</si>
  <si>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</si>
  <si>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</si>
  <si>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</si>
  <si>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</si>
  <si>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</si>
  <si>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</si>
  <si>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</si>
  <si>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</si>
  <si>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</si>
  <si>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</si>
  <si>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</si>
  <si>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Debt Service 2003 bonds</t>
  </si>
  <si>
    <t>Debt service 2005 bonds</t>
  </si>
  <si>
    <t>Estimated annual charges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</si>
  <si>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</si>
  <si>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</si>
  <si>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</si>
  <si>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</si>
  <si>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</si>
  <si>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</si>
  <si>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</si>
  <si>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</si>
  <si>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</si>
  <si>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</si>
  <si>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</si>
  <si>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</si>
  <si>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</si>
  <si>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</si>
  <si>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</si>
  <si>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</si>
  <si>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</si>
  <si>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</si>
  <si>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</si>
  <si>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</si>
  <si>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</si>
  <si>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</si>
  <si>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</si>
  <si>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</si>
  <si>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</si>
  <si>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</si>
  <si>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</si>
  <si>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</si>
  <si>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</si>
  <si>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</si>
  <si>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SFFMA </t>
  </si>
  <si>
    <t xml:space="preserve">Flyers/invitations - postage </t>
  </si>
  <si>
    <t>Certified mail</t>
  </si>
  <si>
    <t>Postage due</t>
  </si>
  <si>
    <t>Stamps</t>
  </si>
  <si>
    <t>Package mail</t>
  </si>
  <si>
    <t>Win2003 Cal upgrades and/or licenses</t>
  </si>
  <si>
    <t>Umbrella Liability</t>
  </si>
  <si>
    <t>Travis County Tax Office fees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</si>
  <si>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</si>
  <si>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</si>
  <si>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</si>
  <si>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</si>
  <si>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</si>
  <si>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</si>
  <si>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</si>
  <si>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</si>
  <si>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</si>
  <si>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</si>
  <si>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</si>
  <si>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</si>
  <si>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</si>
  <si>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</si>
  <si>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</si>
  <si>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</si>
  <si>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</si>
  <si>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</si>
  <si>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</si>
  <si>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</si>
  <si>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</si>
  <si>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</si>
  <si>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</si>
  <si>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</si>
  <si>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and Wildland PPE repair and Cleaning</t>
  </si>
  <si>
    <t>Wells Fargo Bank  - drill tower (July)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</si>
  <si>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</si>
  <si>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</si>
  <si>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</si>
  <si>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</si>
  <si>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</si>
  <si>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</si>
  <si>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</si>
  <si>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</si>
  <si>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</si>
  <si>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</si>
  <si>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</si>
  <si>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</si>
  <si>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</si>
  <si>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</si>
  <si>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</si>
  <si>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</si>
  <si>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</si>
  <si>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PHTLS/ITLAS class</t>
  </si>
  <si>
    <t>EMS Conference</t>
  </si>
  <si>
    <t>DSHS First Responder Organization</t>
  </si>
  <si>
    <t>Replacement flags</t>
  </si>
  <si>
    <t>Safe-D Association</t>
  </si>
  <si>
    <t>Repairs; troubleshoot</t>
  </si>
  <si>
    <t>Annual Report</t>
  </si>
  <si>
    <t>Mileage Reimbursement per Federal standard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</si>
  <si>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</si>
  <si>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</si>
  <si>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</si>
  <si>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</si>
  <si>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</si>
  <si>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>Inspection / Investigation equipment</t>
  </si>
  <si>
    <t>DC Training</t>
  </si>
  <si>
    <t>Accident and normal death: $25,000 (VFIS)  FT Paid</t>
  </si>
  <si>
    <t xml:space="preserve">CD Environmental deposit </t>
  </si>
  <si>
    <t>Instruction hours @ $30 (incl. c/o $4,770)</t>
  </si>
  <si>
    <t>Sales Tax Revenue Consultant</t>
  </si>
  <si>
    <t>PREVENTION</t>
  </si>
  <si>
    <t>Principal &amp; Interest</t>
  </si>
  <si>
    <t xml:space="preserve">Full time employees 457 contribution 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</si>
  <si>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</si>
  <si>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</si>
  <si>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</si>
  <si>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Fire Officer 1</t>
  </si>
  <si>
    <t>Miscellaneous tools</t>
  </si>
  <si>
    <t>Number</t>
  </si>
  <si>
    <t>485, 87, 90, 99</t>
  </si>
  <si>
    <t>VENDING MACHINES</t>
  </si>
  <si>
    <t>Supplies for food and drink machines</t>
  </si>
  <si>
    <t>Vending machine supplies</t>
  </si>
  <si>
    <t>Reimbursements</t>
  </si>
  <si>
    <t>Sales tax</t>
  </si>
  <si>
    <t>Paychex delivery fees (4) plus  Lone Star</t>
  </si>
  <si>
    <t>SUI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</si>
  <si>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</si>
  <si>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</si>
  <si>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</si>
  <si>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</si>
  <si>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</si>
  <si>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</si>
  <si>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Professional Association memberships</t>
  </si>
  <si>
    <t>FEMA Match (vehicle)</t>
  </si>
  <si>
    <t>Estimate 2011</t>
  </si>
  <si>
    <t>Central Texas Fire Investigators</t>
  </si>
  <si>
    <t>TML - return of equity from past years</t>
  </si>
  <si>
    <t>Family picnic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</si>
  <si>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</si>
  <si>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</si>
  <si>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</si>
  <si>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</si>
  <si>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</si>
  <si>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</si>
  <si>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</si>
  <si>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</si>
  <si>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</si>
  <si>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</si>
  <si>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</si>
  <si>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</si>
  <si>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</si>
  <si>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</si>
  <si>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</si>
  <si>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Locution Station Alerting License &amp; Hardware maint.</t>
  </si>
  <si>
    <t>Sweatshirts</t>
  </si>
  <si>
    <t>Department team-sponsorship</t>
  </si>
  <si>
    <t>Septic inspection and maintenance CD</t>
  </si>
  <si>
    <t>AC filter grates for CD</t>
  </si>
  <si>
    <t>painting drill tower exterior handrails</t>
  </si>
  <si>
    <t>Revenue Rescue (&amp; other billing)</t>
  </si>
  <si>
    <t>Repairs - miscellaneous PC/network</t>
  </si>
  <si>
    <t>Software - miscellaneous</t>
  </si>
  <si>
    <t>QuickBooks upgrade - Intuit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</si>
  <si>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</si>
  <si>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</si>
  <si>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</si>
  <si>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</si>
  <si>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Estimate</t>
  </si>
  <si>
    <t>Estimate 2012</t>
  </si>
  <si>
    <t>Texas SUI  @ $56.7 x 32+ allowance $2,186 for PT</t>
  </si>
  <si>
    <t>DSHS EMS Coordinator</t>
  </si>
  <si>
    <t>Misc. grant matching (LCRA/PEC, Motorola, etc.)</t>
  </si>
  <si>
    <t>EMS Training (advanced)</t>
  </si>
  <si>
    <t>FY 2012</t>
  </si>
  <si>
    <t>C</t>
  </si>
  <si>
    <t>D</t>
  </si>
  <si>
    <t>Waste disposal - Allied Waste - Barton Creek</t>
  </si>
  <si>
    <t>Waste -  Texas Disposal - Circle Drive</t>
  </si>
  <si>
    <t>CAD to Records Management System interface</t>
  </si>
  <si>
    <t>Portable Cascade Hydro</t>
  </si>
  <si>
    <t>RIC Bags</t>
  </si>
  <si>
    <t>Budget Amendment</t>
  </si>
  <si>
    <t>Extrication Tool Replacement</t>
  </si>
  <si>
    <t>Structural Boots</t>
  </si>
  <si>
    <t>Structural Turnout Coats</t>
  </si>
  <si>
    <t>Structural Turnout Pants</t>
  </si>
  <si>
    <t>Wildland Goggles</t>
  </si>
  <si>
    <t>Wildland Helmets</t>
  </si>
  <si>
    <t>Wildland Shelters</t>
  </si>
  <si>
    <t>Wildland Turnout Coats</t>
  </si>
  <si>
    <t>Wildland Turnout Pants</t>
  </si>
  <si>
    <t>Traffic Vests</t>
  </si>
  <si>
    <t>CATRAC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</si>
  <si>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</si>
  <si>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</si>
  <si>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</si>
  <si>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</si>
  <si>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</si>
  <si>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</si>
  <si>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Cell phones</t>
  </si>
  <si>
    <t>Fire Sprinkler Annual Inspection</t>
  </si>
  <si>
    <t>incl</t>
  </si>
  <si>
    <t>Fire Alarm monitoring</t>
  </si>
  <si>
    <t>Records Management System expansion</t>
  </si>
  <si>
    <t>SOURCE OF REVENUE</t>
  </si>
  <si>
    <t>REVENUE</t>
  </si>
  <si>
    <t>Wellness Program (Physicals &amp; Workout Equipment)</t>
  </si>
  <si>
    <t>moved to Office Supplies</t>
  </si>
  <si>
    <t>Assorted general supplies (Home Depot, Lowes)</t>
  </si>
  <si>
    <t>Vacuum cleaners</t>
  </si>
  <si>
    <t>Desktop Computer Replacements</t>
  </si>
  <si>
    <t>Travis County Clerk for ESD postings</t>
  </si>
  <si>
    <t>Drill Tower Annual Inspection</t>
  </si>
  <si>
    <t>Overhead Door PM Contract</t>
  </si>
  <si>
    <t>Payroll</t>
  </si>
  <si>
    <t>Fire Code Reference Books</t>
  </si>
  <si>
    <t>Oak Hill Business &amp; Professional Assoc (OHBPA)</t>
  </si>
  <si>
    <t>International Association Fire Chiefs</t>
  </si>
  <si>
    <t>Texas Fire Marshal's Association</t>
  </si>
  <si>
    <t>SCBA Replacement Packs</t>
  </si>
  <si>
    <t>Imperium Accoutability System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</si>
  <si>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</si>
  <si>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</si>
  <si>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</si>
  <si>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</si>
  <si>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SUNSET VALLEY REIMBURSEMENT</t>
  </si>
  <si>
    <t xml:space="preserve">VEHICLE MAINTENANCE &amp; REPAIR      </t>
  </si>
  <si>
    <t>EMS SUPPLIES</t>
  </si>
  <si>
    <t>UNIFORMS &amp; PROTECTIVE GEAR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</si>
  <si>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</si>
  <si>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</si>
  <si>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</si>
  <si>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</si>
  <si>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</si>
  <si>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</si>
  <si>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Swift water tech refresher</t>
  </si>
  <si>
    <t>NFA courses</t>
  </si>
  <si>
    <t>See TCFP</t>
  </si>
  <si>
    <t>See Tech Res</t>
  </si>
  <si>
    <t>EMS Continuing Education</t>
  </si>
  <si>
    <t>See EMS CE</t>
  </si>
  <si>
    <t>See Trng Fld</t>
  </si>
  <si>
    <t>FIRE &amp; RESCUE TRAINING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</si>
  <si>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</si>
  <si>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</si>
  <si>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</si>
  <si>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</si>
  <si>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</si>
  <si>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A/C Replacement (older units)</t>
  </si>
  <si>
    <t>Water quality pond maintenance (Station 301)</t>
  </si>
  <si>
    <t>OFFICE SUPPLIES</t>
  </si>
  <si>
    <t>STATION SUPPLIES</t>
  </si>
  <si>
    <t>BANK FEES</t>
  </si>
  <si>
    <t>DUES &amp; SUBSCRIPTIONS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</si>
  <si>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</si>
  <si>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</si>
  <si>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</si>
  <si>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</si>
  <si>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</si>
  <si>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</si>
  <si>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</si>
  <si>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</si>
  <si>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</si>
  <si>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</si>
  <si>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Fire Hydrant Inspection</t>
  </si>
  <si>
    <t>E-mail hosting</t>
  </si>
  <si>
    <t>Heat - Barton Creek - Natural Gas</t>
  </si>
  <si>
    <t>Open House supplies</t>
  </si>
  <si>
    <t>US Bank - copiers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</si>
  <si>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</si>
  <si>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</si>
  <si>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</si>
  <si>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</si>
  <si>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Replace Day Room Equipment (both stations)</t>
  </si>
  <si>
    <t>Gas Monitor Maintenance Agreement</t>
  </si>
  <si>
    <t>Occupational Health Testing</t>
  </si>
  <si>
    <t>to Pub Ed</t>
  </si>
  <si>
    <t>Collar Microphones</t>
  </si>
  <si>
    <t>Vehicle Inspections &amp; Registrations</t>
  </si>
  <si>
    <t>Command Vehicle Slide Out Trays</t>
  </si>
  <si>
    <t>Gas Monitor</t>
  </si>
  <si>
    <t>Thermal Imaging Cameras</t>
  </si>
  <si>
    <t>Portable Monitors</t>
  </si>
  <si>
    <t>Highrise Conference</t>
  </si>
  <si>
    <t>Station 301 kitchen remodel</t>
  </si>
  <si>
    <t>Folding Water Tank</t>
  </si>
  <si>
    <t>TIFMAS Symposium</t>
  </si>
  <si>
    <t>Elected Official Bond (Treasurer)</t>
  </si>
  <si>
    <t>Rescue / Extrication Gloves</t>
  </si>
  <si>
    <t>Fire Sprinkler System Expansion</t>
  </si>
  <si>
    <t>General Supplies</t>
  </si>
  <si>
    <t>Phone System Interface</t>
  </si>
  <si>
    <t>Digital Desktop Phones (hardware)</t>
  </si>
  <si>
    <t>Phone Service (numbers plus talk time)</t>
  </si>
  <si>
    <t>Cable TV Service</t>
  </si>
  <si>
    <t>Internet &amp; Phone Connectivity</t>
  </si>
  <si>
    <t>Pancake Breakfast</t>
  </si>
  <si>
    <t>Quarterly Outreach Materials</t>
  </si>
  <si>
    <t>Fire Academy fees</t>
  </si>
  <si>
    <t>Pullover Response Pants</t>
  </si>
  <si>
    <t>Health Insurance - TAC credit</t>
  </si>
  <si>
    <t>Vending machines</t>
  </si>
  <si>
    <t>BENEFITS</t>
  </si>
  <si>
    <t>i</t>
  </si>
  <si>
    <t>5 commissioners, 16 meetings</t>
  </si>
  <si>
    <t>*** 1 Replacement Engine</t>
  </si>
  <si>
    <t>EMT Certification Courses</t>
  </si>
  <si>
    <t>Fire Academy</t>
  </si>
  <si>
    <t>Rehab Supplies</t>
  </si>
  <si>
    <t>EMS Supplies</t>
  </si>
  <si>
    <t>Small office equipment (staplers, etc.)</t>
  </si>
  <si>
    <t>Miscellaneous Expendables (pens, staples, clips etc.)</t>
  </si>
  <si>
    <t>Training Division Supplies</t>
  </si>
  <si>
    <t>Fire &amp; EMT Academy Supplies</t>
  </si>
  <si>
    <t>Operational Rates of Pay</t>
  </si>
  <si>
    <t xml:space="preserve">Professional Development (Officers) </t>
  </si>
  <si>
    <t>Miscellaneous Seminars</t>
  </si>
  <si>
    <t>Fire Department Instructors' Conference (FDIC)</t>
  </si>
  <si>
    <t>T-Shirt</t>
  </si>
  <si>
    <t>Scott SCBA Mask with embedded TIC</t>
  </si>
  <si>
    <t>Building &amp; Props Refurbishment</t>
  </si>
  <si>
    <t>Modify TIFMAS Vehicle (brackets, etc.)</t>
  </si>
  <si>
    <t>Fire Hose Tester (pump)</t>
  </si>
  <si>
    <t>Motorola APX Multi-Band Portable Radios</t>
  </si>
  <si>
    <t>Administration fees - bond debt - Wells Fargo</t>
  </si>
  <si>
    <t>Audit - CPA</t>
  </si>
  <si>
    <t>APX Mobile Radios (New ENG301, QNT302)</t>
  </si>
  <si>
    <t>FF 2018</t>
  </si>
  <si>
    <t>DO 2018</t>
  </si>
  <si>
    <t>LT 2018</t>
  </si>
  <si>
    <t>CAP 2018</t>
  </si>
  <si>
    <t>* lease completed March 2nd 2016</t>
  </si>
  <si>
    <t>** lease paid off early July 2016</t>
  </si>
  <si>
    <t>MDC Replacement (older units)</t>
  </si>
  <si>
    <t>Active 911 Alerting System</t>
  </si>
  <si>
    <t>LODD Conference (online streaming)</t>
  </si>
  <si>
    <t>Website design &amp; maintenance</t>
  </si>
  <si>
    <t>CrewSense Online Scheduling System</t>
  </si>
  <si>
    <t>Email Spam Filter (Barracuda Essentials)</t>
  </si>
  <si>
    <t>Mobile Radios (Remaining Truck Replacements)</t>
  </si>
  <si>
    <t>TFCA Fire Chiefs Workshop</t>
  </si>
  <si>
    <t>Warehouse Club memberships</t>
  </si>
  <si>
    <t>TecGen Response Clothing</t>
  </si>
  <si>
    <t>Forcible Entry Prop</t>
  </si>
  <si>
    <t>Cascade System for ST302</t>
  </si>
  <si>
    <t>Apparatus Fire Extinguishers</t>
  </si>
  <si>
    <t>Replace manifold</t>
  </si>
  <si>
    <t>Live Fire PPE rental (cadets &amp; main instructors)</t>
  </si>
  <si>
    <t>Decontamination Equipment</t>
  </si>
  <si>
    <t>Aluminum Hose Bed</t>
  </si>
  <si>
    <t>Classroom Maintenance &amp; Equipment Replacement</t>
  </si>
  <si>
    <t>Wire charges / transfers</t>
  </si>
  <si>
    <t>Legal consultants - KC, JO</t>
  </si>
  <si>
    <t>50th Anniversary Items</t>
  </si>
  <si>
    <t>Automated External Defibrillators</t>
  </si>
  <si>
    <t>Outdoor Dual-Sided Electronic Sign for Station 301</t>
  </si>
  <si>
    <t>BC 2018</t>
  </si>
  <si>
    <t>Revenue to Expense Difference</t>
  </si>
  <si>
    <t>PPE - boots</t>
  </si>
  <si>
    <t>Short term disability for 33 FT Paid (Colonial)</t>
  </si>
  <si>
    <t>FF 2019</t>
  </si>
  <si>
    <t>DO 2019</t>
  </si>
  <si>
    <t>LT 2019</t>
  </si>
  <si>
    <t>CAP 2019</t>
  </si>
  <si>
    <t>BC 2019</t>
  </si>
  <si>
    <t>National Registry Recertifications</t>
  </si>
  <si>
    <t>Rehab</t>
  </si>
  <si>
    <t>Exterior Station and Building Painting</t>
  </si>
  <si>
    <t>Copy Machines - 1 per station</t>
  </si>
  <si>
    <t>Quickbooks Checks  (1000)</t>
  </si>
  <si>
    <t>Patient Care Records Management System</t>
  </si>
  <si>
    <t>Fire Incident Records Management System</t>
  </si>
  <si>
    <t>Replacement Monitors</t>
  </si>
  <si>
    <t>Mobile Computing Hardware (EMS Reporting)</t>
  </si>
  <si>
    <t>Microsoft Office Software</t>
  </si>
  <si>
    <t>Small Taxing Unit General Election (Legislative)</t>
  </si>
  <si>
    <t>Printing (controlled burn forms, etc.)</t>
  </si>
  <si>
    <t>Fire Safety Bounce House</t>
  </si>
  <si>
    <t>Class A Foam - 2 x 55 gallon drums</t>
  </si>
  <si>
    <t>Equipment - Breathing air cylinder hydrostatic testing (40 units)</t>
  </si>
  <si>
    <t>Instructor Shirts</t>
  </si>
  <si>
    <t>Roof Covering for Station 301 Deck</t>
  </si>
  <si>
    <t>Construct Gear Storage Rooms at Staiton 301</t>
  </si>
  <si>
    <t>Replace Gear Washer at Station 302 and move to Station 301</t>
  </si>
  <si>
    <t>% of Revenue</t>
  </si>
  <si>
    <t>NFPA Online (subscription)</t>
  </si>
  <si>
    <t>COA Barton Springs Zone Permit (Station 301)</t>
  </si>
  <si>
    <t>Quarterly Air Tests (4 @ $300)</t>
  </si>
  <si>
    <t>Annual SCBA Flow Test (32 @ $44)</t>
  </si>
  <si>
    <t>SCBA Mask Fit Test (35 @ $30)</t>
  </si>
  <si>
    <t>Scott SCBA masks (4 @ $275)</t>
  </si>
  <si>
    <t>Cylinder Hydro (25 @ $35)</t>
  </si>
  <si>
    <t>Workers Com - Instructors</t>
  </si>
  <si>
    <t>Workers Comp - Commissioners</t>
  </si>
  <si>
    <t>FF 2020</t>
  </si>
  <si>
    <t>DO 2020</t>
  </si>
  <si>
    <t>LT 2020</t>
  </si>
  <si>
    <t>CAP 2020</t>
  </si>
  <si>
    <t>BC 2020</t>
  </si>
  <si>
    <t>Community Event Mailer, twice per year</t>
  </si>
  <si>
    <t>Heat &amp; Drill Field - Circle Drive - Propane</t>
  </si>
  <si>
    <t>Wireless Access for MDC's @ $40 per truck per month</t>
  </si>
  <si>
    <t>SCBA replacement bottles @ $1,000 each</t>
  </si>
  <si>
    <t>Golf Shirt</t>
  </si>
  <si>
    <t>Personnel</t>
  </si>
  <si>
    <t>Workout Shirts</t>
  </si>
  <si>
    <t>Uniform Shorts</t>
  </si>
  <si>
    <t>Wildland Gloves</t>
  </si>
  <si>
    <t>Accountability Tags</t>
  </si>
  <si>
    <t>Structural Helmet Face Shields</t>
  </si>
  <si>
    <t>Structural Helmets with Leather Fronts</t>
  </si>
  <si>
    <t>Structural Nomex Hoods</t>
  </si>
  <si>
    <t>Structural Gloves</t>
  </si>
  <si>
    <t>Structural Turnout Suspenders</t>
  </si>
  <si>
    <t>ILS Kits (includes Bags &amp; Assorted Supplies)</t>
  </si>
  <si>
    <t>Trauma Supplies</t>
  </si>
  <si>
    <t>Food and Refreshment</t>
  </si>
  <si>
    <t>Department Response Vehicles</t>
  </si>
  <si>
    <t>Training Field Consumable Materials &amp; Supplies</t>
  </si>
  <si>
    <t>Blue Card Command Training (Drivers, Officers, Chiefs) Class &amp; Labs</t>
  </si>
  <si>
    <t>Pump Simulator (shared with neighboring ESDs)</t>
  </si>
  <si>
    <t>Meeting Supplies - Officers, Admin, Commissioners, etc.</t>
  </si>
  <si>
    <t>TCFP Certification Classes (Instructor, Officer, Driver/Operator, etc.)</t>
  </si>
  <si>
    <t>AED Supplies - Batteries, Pads, Razors, Memory Sticks, etc.</t>
  </si>
  <si>
    <t>BP Cuffs, Splints, Stethoscopes, etc.</t>
  </si>
  <si>
    <t>Misc. Supplies - Penlights, Scissors, etc.</t>
  </si>
  <si>
    <t>Officer/Commissioner Meetings</t>
  </si>
  <si>
    <t>Drivers' License Renewals</t>
  </si>
  <si>
    <t>DSHS CE Issuing Organization License</t>
  </si>
  <si>
    <t>TCFP Facility Certifications</t>
  </si>
  <si>
    <t>Scout Project Support for Facilities &amp; Grounds Improvements</t>
  </si>
  <si>
    <t>Miscellaneous (Notary, etc.)</t>
  </si>
  <si>
    <t>National Assoc. of EMS Educators (NAEMSE)</t>
  </si>
  <si>
    <t>New Apparatus Equipment (Misc Tools &amp; Equipment)</t>
  </si>
  <si>
    <t>Air Filters at both stations</t>
  </si>
  <si>
    <t>Semi-Annual Newsletter</t>
  </si>
  <si>
    <t>Radio/MDC Repairs ($78.92/hr)</t>
  </si>
  <si>
    <t>TCFP Annual Certifications  (35 @ $75)</t>
  </si>
  <si>
    <t>Replace Knox Key Retention Devices</t>
  </si>
  <si>
    <t>Deployment cots/hammocks</t>
  </si>
  <si>
    <t>Deployment sleeping pads</t>
  </si>
  <si>
    <t>ESD3 Hosted Training Classes (Nozzle Forward, etc.)</t>
  </si>
  <si>
    <t>Wildland Gear Packs</t>
  </si>
  <si>
    <t>Accident &amp; Sickness, STD, LTD, CI Insurance (Hartford)</t>
  </si>
  <si>
    <t>Cascade System 6000 PSI 10 Year Hydro</t>
  </si>
  <si>
    <t>ADMIN/OFFICE STAFF</t>
  </si>
  <si>
    <t>Capnography Devices</t>
  </si>
  <si>
    <t>35-foot 2-fly Extention Ladder</t>
  </si>
  <si>
    <t>28-foot Extension Ladder</t>
  </si>
  <si>
    <t>Wildland Urban Interface Conference (Reno, NV)</t>
  </si>
  <si>
    <t>Fire &amp; EMS Academy Recruiting</t>
  </si>
  <si>
    <t>Forcible Entry Prop for Hiring</t>
  </si>
  <si>
    <t>AT&amp;T Landline (non-emergency line)</t>
  </si>
  <si>
    <t>*Debt Service Interest</t>
  </si>
  <si>
    <t>*Debt Service 2013 bonds</t>
  </si>
  <si>
    <t>Capital apparatus/equipment purchases</t>
  </si>
  <si>
    <t>Alpha Pagers (from category 602)</t>
  </si>
  <si>
    <t>Active911 Alerting System (from category 602)</t>
  </si>
  <si>
    <t>Moving to 603 - Dispatch &amp; Communications</t>
  </si>
  <si>
    <t>Paint Downstairs Offices, Rooms, and Hallways at Station 302</t>
  </si>
  <si>
    <t>ST301 Expansion (Arch, Eng, &amp; Permits)</t>
  </si>
  <si>
    <t>FF 2021</t>
  </si>
  <si>
    <t>DO 2021</t>
  </si>
  <si>
    <t>LT 2021</t>
  </si>
  <si>
    <t>CAP 2021</t>
  </si>
  <si>
    <t>BC 2021</t>
  </si>
  <si>
    <t>Texas Association of Fire Chiefs</t>
  </si>
  <si>
    <t>ST301 Expansion (Construction)</t>
  </si>
  <si>
    <t>Property Tax</t>
  </si>
  <si>
    <t>EMS Certification School fees (2 classes)</t>
  </si>
  <si>
    <t>Health etc. - employee TAC December - September</t>
  </si>
  <si>
    <t>Accident &amp; Sickness Insurance: CAFCA FT Paid (VFIS)</t>
  </si>
  <si>
    <t>Paychex regular processing fees</t>
  </si>
  <si>
    <t>State Cleaning Supplies</t>
  </si>
  <si>
    <t>Replacement Mattresses (both stations - 8 yrs)</t>
  </si>
  <si>
    <t>Replace Tender 301 Dump Valve</t>
  </si>
  <si>
    <t>Cost Share for ESD6 Rehab Truck</t>
  </si>
  <si>
    <t>Live Fire Supplies</t>
  </si>
  <si>
    <t>Training Buildings and Props Enhancement</t>
  </si>
  <si>
    <t>Technical Rescue Classes (Switftwater, Search, Vehicle Rescue, etc.)</t>
  </si>
  <si>
    <t>Power Saw Replacements for Training Field</t>
  </si>
  <si>
    <t>Drill Field Maintenance</t>
  </si>
  <si>
    <t>Staff Parking Covers (Both Stations)</t>
  </si>
  <si>
    <t>Station Lighting Systems Replacement (LEDs)</t>
  </si>
  <si>
    <t>Newspaper Public Notices re Tax Rate</t>
  </si>
  <si>
    <t>Fire Extinguisher replacements at both stations</t>
  </si>
  <si>
    <t>EXPENSE CATEGORY</t>
  </si>
  <si>
    <t>CHIEF</t>
  </si>
  <si>
    <t>TCFP Initial Certifications (20@55)</t>
  </si>
  <si>
    <t>Replace Station Projection Systems</t>
  </si>
  <si>
    <t>Approved FY2021 Budget</t>
  </si>
  <si>
    <t>FF 2022</t>
  </si>
  <si>
    <t>DO 2022</t>
  </si>
  <si>
    <t>LT 2022</t>
  </si>
  <si>
    <t>CAP 2022</t>
  </si>
  <si>
    <t>BC 2022</t>
  </si>
  <si>
    <t>Employee Assistance Program (EAP)</t>
  </si>
  <si>
    <t>KnoxConnect Secure Key Subscription</t>
  </si>
  <si>
    <t>Landscaping and lot line clearing at Barton Creek</t>
  </si>
  <si>
    <t>Wireless Headsets (Battalions)</t>
  </si>
  <si>
    <t>Convert Large Burn Room to Burn Garage</t>
  </si>
  <si>
    <t>Replace SCBA air bottles @ $900 each</t>
  </si>
  <si>
    <t>Add mezzanine for Training Truck Bay</t>
  </si>
  <si>
    <t>Refurbish one burn room</t>
  </si>
  <si>
    <t>Add Drill Field Lighting</t>
  </si>
  <si>
    <t>Replace Station Internet Connectivity Hardware</t>
  </si>
  <si>
    <t>Server Back-up (Cloud)</t>
  </si>
  <si>
    <t>Replace Thermal Imaging Cameras (2 front line trucks)</t>
  </si>
  <si>
    <t>Replace tool boxes &amp; replenish station tools</t>
  </si>
  <si>
    <t>Paint Training Tower handrails</t>
  </si>
  <si>
    <t>Add tables and chairs to training expansion area</t>
  </si>
  <si>
    <t>Forcible Entry Simulator Trailer (shared with neighboring ESDs)</t>
  </si>
  <si>
    <t>*Fully funded to retirement in Reserve Policy in FY2020</t>
  </si>
  <si>
    <t>IAFC Fire Rescue International (San Antonio 2022)</t>
  </si>
  <si>
    <t>SAFE-D Conference (Round Rock 2022)</t>
  </si>
  <si>
    <t>Replace High Pressure Air Bags (Quint 302)</t>
  </si>
  <si>
    <t>Upgrade TIC on QNT302 and ENG303</t>
  </si>
  <si>
    <t>Trunked Radio User Fee @ $30.84 per radio per month</t>
  </si>
  <si>
    <t>Lift Frame and Replace Tires on Brush Trucks</t>
  </si>
  <si>
    <t>Equipment - SCBA flow testing @ $50 and parts</t>
  </si>
  <si>
    <t>Add covered meeting area on drill field expansion</t>
  </si>
  <si>
    <t>Approved FY2022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</si>
</sst>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8" formatCode="0.0%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name val="Arial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sz val="16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sz val="36"/>
      <name val="Arial"/>
      <family val="2"/>
    </font>
    <font>
      <sz val="36"/>
      <name val="Arial Narrow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u val="singleAccounting"/>
      <sz val="11"/>
      <name val="Arial Narrow"/>
      <family val="2"/>
    </font>
    <font>
      <b/>
      <sz val="11"/>
      <color rgb="FF0070C0"/>
      <name val="Arial Narrow"/>
      <family val="2"/>
    </font>
    <font>
      <b/>
      <u/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0" fontId="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818">
    <xf numFmtId="0" fontId="0" fillId="0" borderId="0" xfId="0"/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44" fontId="6" fillId="0" borderId="0" xfId="1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4" fontId="6" fillId="0" borderId="0" xfId="0" applyNumberFormat="1" applyFont="1" applyFill="1"/>
    <xf numFmtId="44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0" xfId="0" applyFont="1" applyFill="1"/>
    <xf numFmtId="0" fontId="5" fillId="0" borderId="0" xfId="0" applyFont="1" applyBorder="1" applyAlignment="1">
      <alignment horizontal="center"/>
    </xf>
    <xf numFmtId="44" fontId="5" fillId="0" borderId="0" xfId="1" applyFont="1" applyBorder="1"/>
    <xf numFmtId="44" fontId="0" fillId="0" borderId="0" xfId="0" applyNumberFormat="1"/>
    <xf numFmtId="0" fontId="12" fillId="0" borderId="0" xfId="0" applyFont="1" applyBorder="1" applyAlignment="1">
      <alignment horizontal="left"/>
    </xf>
    <xf numFmtId="0" fontId="19" fillId="0" borderId="0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left"/>
    </xf>
    <xf numFmtId="0" fontId="20" fillId="0" borderId="0" xfId="0" applyFont="1" applyBorder="1"/>
    <xf numFmtId="44" fontId="6" fillId="0" borderId="16" xfId="1" applyFont="1" applyBorder="1"/>
    <xf numFmtId="0" fontId="10" fillId="0" borderId="0" xfId="0" applyFont="1"/>
    <xf numFmtId="0" fontId="0" fillId="0" borderId="0" xfId="0" applyNumberFormat="1" applyAlignment="1">
      <alignment horizontal="center"/>
    </xf>
    <xf numFmtId="0" fontId="14" fillId="0" borderId="0" xfId="0" applyFont="1" applyBorder="1"/>
    <xf numFmtId="0" fontId="12" fillId="0" borderId="0" xfId="0" applyFont="1" applyBorder="1"/>
    <xf numFmtId="44" fontId="12" fillId="0" borderId="0" xfId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44" fontId="14" fillId="0" borderId="16" xfId="1" applyFont="1" applyBorder="1"/>
    <xf numFmtId="0" fontId="12" fillId="0" borderId="1" xfId="0" applyFont="1" applyBorder="1" applyAlignment="1">
      <alignment horizontal="left"/>
    </xf>
    <xf numFmtId="44" fontId="12" fillId="0" borderId="16" xfId="1" applyFont="1" applyBorder="1" applyAlignment="1">
      <alignment horizontal="left"/>
    </xf>
    <xf numFmtId="0" fontId="16" fillId="0" borderId="20" xfId="0" applyFont="1" applyBorder="1" applyAlignment="1">
      <alignment horizontal="center"/>
    </xf>
    <xf numFmtId="0" fontId="12" fillId="0" borderId="20" xfId="0" applyFont="1" applyBorder="1" applyAlignment="1"/>
    <xf numFmtId="0" fontId="12" fillId="0" borderId="20" xfId="0" applyFont="1" applyBorder="1" applyAlignment="1">
      <alignment horizontal="left"/>
    </xf>
    <xf numFmtId="4" fontId="12" fillId="0" borderId="0" xfId="0" applyNumberFormat="1" applyFont="1" applyBorder="1"/>
    <xf numFmtId="0" fontId="16" fillId="0" borderId="16" xfId="0" applyFont="1" applyBorder="1" applyAlignment="1">
      <alignment horizontal="center"/>
    </xf>
    <xf numFmtId="44" fontId="12" fillId="0" borderId="16" xfId="0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/>
    </xf>
    <xf numFmtId="44" fontId="12" fillId="0" borderId="21" xfId="0" applyNumberFormat="1" applyFont="1" applyBorder="1" applyAlignment="1">
      <alignment horizontal="center"/>
    </xf>
    <xf numFmtId="44" fontId="12" fillId="0" borderId="0" xfId="1" applyFont="1" applyBorder="1"/>
    <xf numFmtId="0" fontId="16" fillId="0" borderId="0" xfId="0" applyFont="1" applyBorder="1"/>
    <xf numFmtId="0" fontId="12" fillId="0" borderId="22" xfId="0" applyFont="1" applyBorder="1" applyAlignment="1">
      <alignment horizontal="left"/>
    </xf>
    <xf numFmtId="44" fontId="12" fillId="0" borderId="16" xfId="1" applyFont="1" applyBorder="1" applyAlignment="1">
      <alignment horizontal="center"/>
    </xf>
    <xf numFmtId="44" fontId="12" fillId="0" borderId="16" xfId="1" applyFont="1" applyBorder="1"/>
    <xf numFmtId="44" fontId="12" fillId="0" borderId="19" xfId="1" applyFont="1" applyBorder="1" applyAlignment="1">
      <alignment horizontal="left"/>
    </xf>
    <xf numFmtId="0" fontId="14" fillId="0" borderId="16" xfId="0" applyFont="1" applyBorder="1" applyAlignment="1">
      <alignment horizontal="center"/>
    </xf>
    <xf numFmtId="0" fontId="12" fillId="0" borderId="20" xfId="0" applyFont="1" applyBorder="1"/>
    <xf numFmtId="44" fontId="12" fillId="0" borderId="16" xfId="1" applyNumberFormat="1" applyFont="1" applyBorder="1"/>
    <xf numFmtId="0" fontId="12" fillId="0" borderId="16" xfId="0" applyFont="1" applyBorder="1"/>
    <xf numFmtId="0" fontId="21" fillId="0" borderId="16" xfId="0" applyFont="1" applyBorder="1" applyAlignment="1">
      <alignment horizontal="left"/>
    </xf>
    <xf numFmtId="44" fontId="10" fillId="0" borderId="16" xfId="0" applyNumberFormat="1" applyFont="1" applyBorder="1"/>
    <xf numFmtId="0" fontId="10" fillId="0" borderId="16" xfId="0" applyFont="1" applyBorder="1" applyAlignment="1"/>
    <xf numFmtId="44" fontId="10" fillId="0" borderId="16" xfId="0" applyNumberFormat="1" applyFont="1" applyFill="1" applyBorder="1"/>
    <xf numFmtId="0" fontId="14" fillId="0" borderId="0" xfId="0" applyFont="1"/>
    <xf numFmtId="0" fontId="14" fillId="0" borderId="0" xfId="0" applyFont="1" applyBorder="1" applyAlignment="1">
      <alignment horizontal="center"/>
    </xf>
    <xf numFmtId="44" fontId="12" fillId="0" borderId="16" xfId="1" applyNumberFormat="1" applyFont="1" applyBorder="1" applyAlignment="1">
      <alignment horizontal="center"/>
    </xf>
    <xf numFmtId="44" fontId="12" fillId="0" borderId="16" xfId="0" applyNumberFormat="1" applyFont="1" applyBorder="1"/>
    <xf numFmtId="0" fontId="12" fillId="0" borderId="16" xfId="0" applyFont="1" applyBorder="1" applyAlignment="1">
      <alignment horizontal="left"/>
    </xf>
    <xf numFmtId="44" fontId="12" fillId="0" borderId="16" xfId="1" applyNumberFormat="1" applyFont="1" applyFill="1" applyBorder="1" applyAlignment="1"/>
    <xf numFmtId="0" fontId="12" fillId="0" borderId="16" xfId="0" applyFont="1" applyFill="1" applyBorder="1" applyAlignment="1">
      <alignment vertical="top"/>
    </xf>
    <xf numFmtId="0" fontId="12" fillId="0" borderId="19" xfId="0" applyFont="1" applyBorder="1"/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12" fillId="0" borderId="16" xfId="0" applyFont="1" applyBorder="1" applyAlignment="1"/>
    <xf numFmtId="0" fontId="10" fillId="0" borderId="1" xfId="0" applyNumberFormat="1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28" xfId="0" applyNumberFormat="1" applyFont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 applyAlignment="1"/>
    <xf numFmtId="0" fontId="10" fillId="0" borderId="8" xfId="0" applyFont="1" applyFill="1" applyBorder="1" applyAlignment="1">
      <alignment horizontal="left"/>
    </xf>
    <xf numFmtId="0" fontId="10" fillId="0" borderId="28" xfId="0" applyNumberFormat="1" applyFont="1" applyFill="1" applyBorder="1" applyAlignment="1">
      <alignment horizontal="center"/>
    </xf>
    <xf numFmtId="0" fontId="10" fillId="0" borderId="29" xfId="0" applyFont="1" applyFill="1" applyBorder="1" applyAlignment="1">
      <alignment horizontal="left"/>
    </xf>
    <xf numFmtId="0" fontId="10" fillId="0" borderId="4" xfId="0" applyNumberFormat="1" applyFont="1" applyFill="1" applyBorder="1" applyAlignment="1">
      <alignment horizontal="center"/>
    </xf>
    <xf numFmtId="0" fontId="10" fillId="0" borderId="24" xfId="0" applyFont="1" applyFill="1" applyBorder="1" applyAlignment="1">
      <alignment horizontal="left"/>
    </xf>
    <xf numFmtId="44" fontId="7" fillId="3" borderId="25" xfId="1" applyFont="1" applyFill="1" applyBorder="1"/>
    <xf numFmtId="0" fontId="12" fillId="0" borderId="23" xfId="0" applyFont="1" applyBorder="1" applyAlignment="1">
      <alignment horizontal="center"/>
    </xf>
    <xf numFmtId="44" fontId="12" fillId="0" borderId="21" xfId="1" applyFont="1" applyBorder="1" applyAlignment="1">
      <alignment horizontal="center"/>
    </xf>
    <xf numFmtId="0" fontId="14" fillId="0" borderId="0" xfId="0" applyFont="1" applyBorder="1" applyAlignment="1"/>
    <xf numFmtId="0" fontId="14" fillId="3" borderId="25" xfId="0" applyFont="1" applyFill="1" applyBorder="1" applyAlignment="1">
      <alignment horizontal="center"/>
    </xf>
    <xf numFmtId="0" fontId="10" fillId="0" borderId="0" xfId="0" applyFont="1" applyBorder="1"/>
    <xf numFmtId="0" fontId="17" fillId="0" borderId="0" xfId="0" applyFont="1" applyBorder="1"/>
    <xf numFmtId="44" fontId="17" fillId="3" borderId="25" xfId="1" applyFont="1" applyFill="1" applyBorder="1"/>
    <xf numFmtId="0" fontId="14" fillId="0" borderId="0" xfId="0" applyFont="1" applyBorder="1" applyAlignment="1">
      <alignment horizontal="left"/>
    </xf>
    <xf numFmtId="0" fontId="5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6" fillId="0" borderId="16" xfId="1" applyNumberFormat="1" applyFont="1" applyBorder="1" applyAlignment="1">
      <alignment horizontal="center"/>
    </xf>
    <xf numFmtId="0" fontId="12" fillId="0" borderId="16" xfId="1" applyNumberFormat="1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44" fontId="12" fillId="0" borderId="19" xfId="1" applyFont="1" applyBorder="1"/>
    <xf numFmtId="0" fontId="12" fillId="0" borderId="41" xfId="0" applyFont="1" applyBorder="1" applyAlignment="1">
      <alignment horizontal="center"/>
    </xf>
    <xf numFmtId="0" fontId="16" fillId="0" borderId="16" xfId="0" applyFont="1" applyBorder="1"/>
    <xf numFmtId="44" fontId="12" fillId="0" borderId="16" xfId="1" applyNumberFormat="1" applyFont="1" applyFill="1" applyBorder="1"/>
    <xf numFmtId="44" fontId="12" fillId="0" borderId="19" xfId="1" applyNumberFormat="1" applyFont="1" applyBorder="1" applyAlignment="1">
      <alignment horizontal="center"/>
    </xf>
    <xf numFmtId="44" fontId="12" fillId="0" borderId="19" xfId="0" applyNumberFormat="1" applyFont="1" applyBorder="1"/>
    <xf numFmtId="44" fontId="12" fillId="0" borderId="16" xfId="0" applyNumberFormat="1" applyFont="1" applyBorder="1" applyAlignment="1">
      <alignment horizontal="center" vertical="center"/>
    </xf>
    <xf numFmtId="0" fontId="16" fillId="0" borderId="16" xfId="0" applyFont="1" applyFill="1" applyBorder="1" applyAlignment="1">
      <alignment horizontal="center"/>
    </xf>
    <xf numFmtId="0" fontId="12" fillId="0" borderId="16" xfId="0" applyFont="1" applyFill="1" applyBorder="1"/>
    <xf numFmtId="0" fontId="12" fillId="0" borderId="0" xfId="0" applyFont="1"/>
    <xf numFmtId="44" fontId="12" fillId="0" borderId="21" xfId="0" applyNumberFormat="1" applyFont="1" applyBorder="1"/>
    <xf numFmtId="0" fontId="12" fillId="0" borderId="41" xfId="0" applyFont="1" applyBorder="1"/>
    <xf numFmtId="0" fontId="25" fillId="0" borderId="16" xfId="1" applyNumberFormat="1" applyFont="1" applyBorder="1" applyAlignment="1">
      <alignment horizontal="center"/>
    </xf>
    <xf numFmtId="0" fontId="24" fillId="0" borderId="16" xfId="0" applyFont="1" applyBorder="1"/>
    <xf numFmtId="0" fontId="24" fillId="0" borderId="16" xfId="0" applyFont="1" applyBorder="1" applyAlignment="1">
      <alignment horizontal="left"/>
    </xf>
    <xf numFmtId="0" fontId="26" fillId="0" borderId="16" xfId="0" applyFont="1" applyBorder="1" applyAlignment="1">
      <alignment horizontal="center"/>
    </xf>
    <xf numFmtId="44" fontId="26" fillId="0" borderId="16" xfId="1" applyFont="1" applyBorder="1" applyAlignment="1">
      <alignment horizontal="center"/>
    </xf>
    <xf numFmtId="44" fontId="26" fillId="0" borderId="16" xfId="1" applyFont="1" applyBorder="1"/>
    <xf numFmtId="49" fontId="12" fillId="0" borderId="16" xfId="0" applyNumberFormat="1" applyFont="1" applyBorder="1" applyAlignment="1">
      <alignment horizontal="left"/>
    </xf>
    <xf numFmtId="44" fontId="12" fillId="0" borderId="16" xfId="1" applyNumberFormat="1" applyFont="1" applyBorder="1" applyAlignment="1">
      <alignment horizontal="left"/>
    </xf>
    <xf numFmtId="44" fontId="12" fillId="0" borderId="41" xfId="0" applyNumberFormat="1" applyFont="1" applyBorder="1" applyAlignment="1">
      <alignment horizontal="center"/>
    </xf>
    <xf numFmtId="0" fontId="25" fillId="0" borderId="0" xfId="0" applyFont="1" applyBorder="1"/>
    <xf numFmtId="0" fontId="21" fillId="0" borderId="16" xfId="0" applyFont="1" applyBorder="1" applyAlignment="1"/>
    <xf numFmtId="0" fontId="26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27" fillId="0" borderId="0" xfId="0" applyFont="1"/>
    <xf numFmtId="44" fontId="16" fillId="0" borderId="16" xfId="1" applyNumberFormat="1" applyFont="1" applyBorder="1" applyAlignment="1">
      <alignment horizontal="center"/>
    </xf>
    <xf numFmtId="44" fontId="12" fillId="0" borderId="46" xfId="0" applyNumberFormat="1" applyFont="1" applyBorder="1" applyAlignment="1">
      <alignment horizontal="center"/>
    </xf>
    <xf numFmtId="44" fontId="25" fillId="0" borderId="16" xfId="1" applyNumberFormat="1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44" fontId="12" fillId="0" borderId="21" xfId="1" applyFont="1" applyBorder="1"/>
    <xf numFmtId="0" fontId="12" fillId="0" borderId="0" xfId="0" applyFont="1" applyFill="1" applyBorder="1" applyAlignment="1">
      <alignment horizontal="center"/>
    </xf>
    <xf numFmtId="44" fontId="12" fillId="0" borderId="0" xfId="1" applyFont="1" applyFill="1" applyBorder="1"/>
    <xf numFmtId="0" fontId="12" fillId="0" borderId="0" xfId="0" applyFont="1" applyFill="1" applyBorder="1"/>
    <xf numFmtId="0" fontId="20" fillId="0" borderId="0" xfId="0" applyFont="1" applyAlignment="1">
      <alignment horizontal="center" vertical="center"/>
    </xf>
    <xf numFmtId="42" fontId="10" fillId="2" borderId="2" xfId="0" applyNumberFormat="1" applyFont="1" applyFill="1" applyBorder="1"/>
    <xf numFmtId="42" fontId="10" fillId="2" borderId="12" xfId="0" applyNumberFormat="1" applyFont="1" applyFill="1" applyBorder="1"/>
    <xf numFmtId="42" fontId="10" fillId="2" borderId="33" xfId="0" applyNumberFormat="1" applyFont="1" applyFill="1" applyBorder="1"/>
    <xf numFmtId="0" fontId="12" fillId="0" borderId="16" xfId="0" applyFont="1" applyFill="1" applyBorder="1" applyAlignment="1">
      <alignment vertical="top" wrapText="1"/>
    </xf>
    <xf numFmtId="0" fontId="9" fillId="0" borderId="54" xfId="0" applyNumberFormat="1" applyFont="1" applyBorder="1" applyAlignment="1">
      <alignment horizontal="center"/>
    </xf>
    <xf numFmtId="44" fontId="21" fillId="0" borderId="16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0" xfId="0" applyFont="1" applyBorder="1"/>
    <xf numFmtId="0" fontId="15" fillId="0" borderId="0" xfId="0" applyFont="1" applyBorder="1"/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5" fillId="0" borderId="0" xfId="0" applyFont="1"/>
    <xf numFmtId="0" fontId="5" fillId="0" borderId="0" xfId="0" applyFont="1" applyBorder="1" applyAlignment="1"/>
    <xf numFmtId="0" fontId="1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2" fillId="3" borderId="25" xfId="0" applyFont="1" applyFill="1" applyBorder="1" applyAlignment="1">
      <alignment horizontal="center"/>
    </xf>
    <xf numFmtId="0" fontId="16" fillId="0" borderId="16" xfId="0" applyFont="1" applyBorder="1" applyAlignment="1">
      <alignment horizontal="center" vertical="center"/>
    </xf>
    <xf numFmtId="44" fontId="10" fillId="0" borderId="16" xfId="0" applyNumberFormat="1" applyFont="1" applyBorder="1" applyAlignment="1">
      <alignment horizontal="center"/>
    </xf>
    <xf numFmtId="44" fontId="10" fillId="0" borderId="19" xfId="0" applyNumberFormat="1" applyFont="1" applyBorder="1" applyAlignment="1">
      <alignment horizontal="center"/>
    </xf>
    <xf numFmtId="0" fontId="16" fillId="0" borderId="20" xfId="0" applyFont="1" applyFill="1" applyBorder="1"/>
    <xf numFmtId="0" fontId="16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44" fontId="12" fillId="0" borderId="16" xfId="0" applyNumberFormat="1" applyFont="1" applyFill="1" applyBorder="1"/>
    <xf numFmtId="44" fontId="16" fillId="0" borderId="16" xfId="0" applyNumberFormat="1" applyFont="1" applyBorder="1" applyAlignment="1">
      <alignment horizontal="center"/>
    </xf>
    <xf numFmtId="0" fontId="16" fillId="0" borderId="0" xfId="0" applyFont="1" applyFill="1" applyBorder="1"/>
    <xf numFmtId="0" fontId="5" fillId="0" borderId="0" xfId="0" applyFont="1" applyBorder="1" applyAlignment="1">
      <alignment horizontal="left"/>
    </xf>
    <xf numFmtId="44" fontId="10" fillId="0" borderId="16" xfId="1" applyFont="1" applyBorder="1"/>
    <xf numFmtId="44" fontId="10" fillId="0" borderId="21" xfId="0" applyNumberFormat="1" applyFont="1" applyBorder="1" applyAlignment="1">
      <alignment horizontal="center"/>
    </xf>
    <xf numFmtId="44" fontId="16" fillId="3" borderId="25" xfId="1" applyFont="1" applyFill="1" applyBorder="1"/>
    <xf numFmtId="0" fontId="12" fillId="0" borderId="60" xfId="0" applyFont="1" applyBorder="1"/>
    <xf numFmtId="44" fontId="32" fillId="0" borderId="16" xfId="0" applyNumberFormat="1" applyFont="1" applyBorder="1" applyAlignment="1">
      <alignment horizontal="center"/>
    </xf>
    <xf numFmtId="0" fontId="16" fillId="3" borderId="25" xfId="1" applyNumberFormat="1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26" fillId="0" borderId="20" xfId="0" applyFont="1" applyBorder="1" applyAlignment="1">
      <alignment horizontal="left"/>
    </xf>
    <xf numFmtId="0" fontId="14" fillId="3" borderId="28" xfId="0" applyFont="1" applyFill="1" applyBorder="1" applyAlignment="1">
      <alignment horizontal="center"/>
    </xf>
    <xf numFmtId="0" fontId="14" fillId="3" borderId="33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3" borderId="25" xfId="1" applyNumberFormat="1" applyFont="1" applyFill="1" applyBorder="1" applyAlignment="1">
      <alignment horizontal="center"/>
    </xf>
    <xf numFmtId="0" fontId="12" fillId="0" borderId="23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6" fillId="3" borderId="25" xfId="0" applyFont="1" applyFill="1" applyBorder="1" applyAlignment="1">
      <alignment horizontal="center"/>
    </xf>
    <xf numFmtId="44" fontId="16" fillId="0" borderId="16" xfId="0" applyNumberFormat="1" applyFont="1" applyFill="1" applyBorder="1" applyAlignment="1">
      <alignment horizontal="center"/>
    </xf>
    <xf numFmtId="0" fontId="16" fillId="3" borderId="25" xfId="0" applyFont="1" applyFill="1" applyBorder="1" applyAlignment="1">
      <alignment horizontal="left"/>
    </xf>
    <xf numFmtId="44" fontId="25" fillId="0" borderId="16" xfId="1" applyFont="1" applyBorder="1" applyAlignment="1"/>
    <xf numFmtId="0" fontId="12" fillId="0" borderId="58" xfId="0" applyFont="1" applyBorder="1" applyAlignment="1">
      <alignment horizontal="center"/>
    </xf>
    <xf numFmtId="44" fontId="25" fillId="0" borderId="16" xfId="1" applyFont="1" applyBorder="1"/>
    <xf numFmtId="44" fontId="12" fillId="0" borderId="21" xfId="1" applyFont="1" applyFill="1" applyBorder="1" applyAlignment="1">
      <alignment horizontal="left"/>
    </xf>
    <xf numFmtId="0" fontId="16" fillId="3" borderId="2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4" fontId="10" fillId="0" borderId="16" xfId="0" applyNumberFormat="1" applyFont="1" applyFill="1" applyBorder="1" applyAlignment="1">
      <alignment horizontal="center"/>
    </xf>
    <xf numFmtId="0" fontId="32" fillId="0" borderId="16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2" fillId="0" borderId="16" xfId="0" applyFont="1" applyFill="1" applyBorder="1" applyAlignment="1"/>
    <xf numFmtId="0" fontId="12" fillId="2" borderId="16" xfId="0" applyFont="1" applyFill="1" applyBorder="1" applyAlignment="1">
      <alignment horizontal="left"/>
    </xf>
    <xf numFmtId="0" fontId="35" fillId="0" borderId="0" xfId="0" applyFont="1" applyBorder="1"/>
    <xf numFmtId="0" fontId="12" fillId="0" borderId="0" xfId="0" applyFont="1" applyFill="1" applyBorder="1" applyAlignment="1">
      <alignment horizontal="left"/>
    </xf>
    <xf numFmtId="0" fontId="21" fillId="0" borderId="0" xfId="0" applyFont="1" applyBorder="1"/>
    <xf numFmtId="0" fontId="33" fillId="0" borderId="16" xfId="0" applyFont="1" applyBorder="1" applyAlignment="1">
      <alignment horizontal="center"/>
    </xf>
    <xf numFmtId="44" fontId="16" fillId="0" borderId="16" xfId="1" applyFont="1" applyBorder="1"/>
    <xf numFmtId="0" fontId="36" fillId="0" borderId="0" xfId="0" applyFont="1" applyBorder="1" applyAlignment="1">
      <alignment horizontal="left"/>
    </xf>
    <xf numFmtId="44" fontId="12" fillId="0" borderId="19" xfId="1" applyNumberFormat="1" applyFont="1" applyBorder="1" applyAlignment="1">
      <alignment horizontal="left"/>
    </xf>
    <xf numFmtId="44" fontId="12" fillId="0" borderId="22" xfId="1" applyFont="1" applyBorder="1"/>
    <xf numFmtId="44" fontId="12" fillId="0" borderId="60" xfId="1" applyNumberFormat="1" applyFont="1" applyBorder="1"/>
    <xf numFmtId="0" fontId="21" fillId="0" borderId="20" xfId="0" applyFont="1" applyFill="1" applyBorder="1" applyAlignment="1">
      <alignment horizontal="left"/>
    </xf>
    <xf numFmtId="44" fontId="21" fillId="0" borderId="16" xfId="0" applyNumberFormat="1" applyFont="1" applyBorder="1"/>
    <xf numFmtId="44" fontId="25" fillId="0" borderId="16" xfId="0" applyNumberFormat="1" applyFont="1" applyBorder="1" applyAlignment="1">
      <alignment horizontal="center"/>
    </xf>
    <xf numFmtId="44" fontId="12" fillId="0" borderId="21" xfId="1" applyNumberFormat="1" applyFont="1" applyBorder="1" applyAlignment="1">
      <alignment horizontal="left"/>
    </xf>
    <xf numFmtId="0" fontId="3" fillId="0" borderId="0" xfId="0" applyFont="1"/>
    <xf numFmtId="0" fontId="12" fillId="0" borderId="19" xfId="0" applyFont="1" applyFill="1" applyBorder="1" applyAlignment="1"/>
    <xf numFmtId="44" fontId="10" fillId="0" borderId="0" xfId="0" applyNumberFormat="1" applyFont="1"/>
    <xf numFmtId="0" fontId="10" fillId="0" borderId="0" xfId="0" applyFont="1" applyAlignment="1">
      <alignment vertical="center"/>
    </xf>
    <xf numFmtId="0" fontId="23" fillId="0" borderId="0" xfId="0" applyFont="1" applyBorder="1"/>
    <xf numFmtId="42" fontId="0" fillId="0" borderId="0" xfId="0" applyNumberFormat="1"/>
    <xf numFmtId="0" fontId="22" fillId="0" borderId="64" xfId="0" applyFont="1" applyBorder="1" applyAlignment="1">
      <alignment horizontal="left" vertical="center"/>
    </xf>
    <xf numFmtId="44" fontId="12" fillId="0" borderId="60" xfId="1" applyFont="1" applyBorder="1" applyAlignment="1">
      <alignment horizontal="left"/>
    </xf>
    <xf numFmtId="0" fontId="12" fillId="0" borderId="56" xfId="0" applyFont="1" applyBorder="1"/>
    <xf numFmtId="164" fontId="10" fillId="0" borderId="0" xfId="0" applyNumberFormat="1" applyFont="1" applyBorder="1" applyAlignment="1"/>
    <xf numFmtId="0" fontId="12" fillId="0" borderId="36" xfId="0" applyFont="1" applyBorder="1"/>
    <xf numFmtId="0" fontId="17" fillId="3" borderId="25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3" xfId="0" applyFont="1" applyBorder="1"/>
    <xf numFmtId="44" fontId="14" fillId="0" borderId="3" xfId="0" applyNumberFormat="1" applyFont="1" applyBorder="1"/>
    <xf numFmtId="0" fontId="14" fillId="0" borderId="1" xfId="0" applyFont="1" applyBorder="1"/>
    <xf numFmtId="0" fontId="14" fillId="0" borderId="2" xfId="0" applyFont="1" applyBorder="1"/>
    <xf numFmtId="44" fontId="14" fillId="0" borderId="10" xfId="0" applyNumberFormat="1" applyFont="1" applyBorder="1"/>
    <xf numFmtId="0" fontId="38" fillId="0" borderId="16" xfId="0" applyFont="1" applyBorder="1" applyAlignment="1">
      <alignment horizontal="center"/>
    </xf>
    <xf numFmtId="0" fontId="12" fillId="0" borderId="1" xfId="0" applyFont="1" applyBorder="1" applyAlignment="1"/>
    <xf numFmtId="44" fontId="10" fillId="0" borderId="16" xfId="1" applyFont="1" applyBorder="1" applyAlignment="1">
      <alignment horizontal="left"/>
    </xf>
    <xf numFmtId="44" fontId="10" fillId="0" borderId="19" xfId="1" applyFont="1" applyBorder="1" applyAlignment="1">
      <alignment horizontal="left"/>
    </xf>
    <xf numFmtId="44" fontId="10" fillId="0" borderId="19" xfId="0" applyNumberFormat="1" applyFont="1" applyBorder="1"/>
    <xf numFmtId="0" fontId="10" fillId="0" borderId="60" xfId="0" applyFont="1" applyBorder="1"/>
    <xf numFmtId="0" fontId="12" fillId="3" borderId="48" xfId="0" applyFont="1" applyFill="1" applyBorder="1"/>
    <xf numFmtId="0" fontId="12" fillId="0" borderId="0" xfId="0" applyFont="1" applyAlignment="1">
      <alignment horizontal="center"/>
    </xf>
    <xf numFmtId="0" fontId="10" fillId="0" borderId="41" xfId="0" applyFont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0" fillId="0" borderId="19" xfId="0" applyFont="1" applyBorder="1" applyAlignment="1">
      <alignment horizontal="left"/>
    </xf>
    <xf numFmtId="44" fontId="10" fillId="0" borderId="21" xfId="1" applyFont="1" applyBorder="1" applyAlignment="1">
      <alignment horizontal="left"/>
    </xf>
    <xf numFmtId="0" fontId="10" fillId="0" borderId="19" xfId="0" applyFont="1" applyBorder="1" applyAlignment="1"/>
    <xf numFmtId="44" fontId="33" fillId="0" borderId="16" xfId="1" applyFont="1" applyBorder="1"/>
    <xf numFmtId="0" fontId="10" fillId="0" borderId="58" xfId="0" applyFont="1" applyBorder="1" applyAlignment="1">
      <alignment horizontal="center"/>
    </xf>
    <xf numFmtId="44" fontId="12" fillId="0" borderId="60" xfId="0" applyNumberFormat="1" applyFont="1" applyBorder="1"/>
    <xf numFmtId="0" fontId="21" fillId="0" borderId="0" xfId="0" applyFont="1"/>
    <xf numFmtId="0" fontId="21" fillId="0" borderId="1" xfId="0" applyFont="1" applyBorder="1" applyAlignment="1"/>
    <xf numFmtId="0" fontId="21" fillId="0" borderId="1" xfId="0" applyFont="1" applyBorder="1"/>
    <xf numFmtId="0" fontId="21" fillId="0" borderId="20" xfId="0" applyFont="1" applyBorder="1" applyAlignment="1">
      <alignment horizontal="left"/>
    </xf>
    <xf numFmtId="0" fontId="21" fillId="0" borderId="19" xfId="0" applyFont="1" applyBorder="1"/>
    <xf numFmtId="44" fontId="32" fillId="0" borderId="19" xfId="0" applyNumberFormat="1" applyFont="1" applyBorder="1" applyAlignment="1">
      <alignment horizontal="center"/>
    </xf>
    <xf numFmtId="0" fontId="12" fillId="0" borderId="53" xfId="0" applyFont="1" applyBorder="1"/>
    <xf numFmtId="44" fontId="21" fillId="0" borderId="19" xfId="0" applyNumberFormat="1" applyFont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44" fontId="12" fillId="0" borderId="19" xfId="0" applyNumberFormat="1" applyFont="1" applyFill="1" applyBorder="1" applyAlignment="1">
      <alignment horizontal="center"/>
    </xf>
    <xf numFmtId="44" fontId="12" fillId="0" borderId="53" xfId="0" applyNumberFormat="1" applyFont="1" applyFill="1" applyBorder="1" applyAlignment="1">
      <alignment horizontal="center"/>
    </xf>
    <xf numFmtId="0" fontId="0" fillId="0" borderId="0" xfId="0" applyFill="1"/>
    <xf numFmtId="0" fontId="12" fillId="0" borderId="68" xfId="0" applyFont="1" applyBorder="1"/>
    <xf numFmtId="44" fontId="12" fillId="0" borderId="68" xfId="0" applyNumberFormat="1" applyFont="1" applyFill="1" applyBorder="1" applyAlignment="1">
      <alignment horizontal="center"/>
    </xf>
    <xf numFmtId="44" fontId="12" fillId="0" borderId="68" xfId="0" applyNumberFormat="1" applyFont="1" applyFill="1" applyBorder="1"/>
    <xf numFmtId="0" fontId="16" fillId="0" borderId="20" xfId="0" applyFont="1" applyFill="1" applyBorder="1" applyAlignment="1">
      <alignment horizontal="left"/>
    </xf>
    <xf numFmtId="0" fontId="17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0" fontId="17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4" fontId="14" fillId="0" borderId="3" xfId="1" applyNumberFormat="1" applyFont="1" applyBorder="1"/>
    <xf numFmtId="0" fontId="17" fillId="0" borderId="1" xfId="0" applyFont="1" applyBorder="1"/>
    <xf numFmtId="44" fontId="14" fillId="0" borderId="3" xfId="1" applyFont="1" applyBorder="1"/>
    <xf numFmtId="0" fontId="14" fillId="0" borderId="17" xfId="0" applyFont="1" applyBorder="1"/>
    <xf numFmtId="0" fontId="14" fillId="0" borderId="8" xfId="0" applyFont="1" applyBorder="1"/>
    <xf numFmtId="44" fontId="14" fillId="0" borderId="8" xfId="1" applyNumberFormat="1" applyFont="1" applyBorder="1"/>
    <xf numFmtId="0" fontId="17" fillId="0" borderId="18" xfId="0" applyFont="1" applyBorder="1"/>
    <xf numFmtId="0" fontId="14" fillId="0" borderId="13" xfId="0" applyFont="1" applyBorder="1"/>
    <xf numFmtId="44" fontId="14" fillId="0" borderId="13" xfId="0" applyNumberFormat="1" applyFont="1" applyBorder="1"/>
    <xf numFmtId="0" fontId="17" fillId="0" borderId="9" xfId="0" applyFont="1" applyBorder="1" applyAlignment="1">
      <alignment horizontal="right"/>
    </xf>
    <xf numFmtId="0" fontId="14" fillId="0" borderId="10" xfId="0" applyFont="1" applyBorder="1"/>
    <xf numFmtId="44" fontId="17" fillId="0" borderId="45" xfId="0" applyNumberFormat="1" applyFont="1" applyBorder="1"/>
    <xf numFmtId="44" fontId="14" fillId="0" borderId="2" xfId="1" applyNumberFormat="1" applyFont="1" applyBorder="1"/>
    <xf numFmtId="44" fontId="17" fillId="0" borderId="11" xfId="0" applyNumberFormat="1" applyFont="1" applyBorder="1"/>
    <xf numFmtId="0" fontId="14" fillId="0" borderId="11" xfId="0" applyFont="1" applyBorder="1"/>
    <xf numFmtId="44" fontId="17" fillId="0" borderId="2" xfId="0" applyNumberFormat="1" applyFont="1" applyBorder="1"/>
    <xf numFmtId="44" fontId="17" fillId="0" borderId="2" xfId="0" applyNumberFormat="1" applyFont="1" applyBorder="1" applyAlignment="1">
      <alignment horizontal="center"/>
    </xf>
    <xf numFmtId="44" fontId="17" fillId="0" borderId="2" xfId="1" applyNumberFormat="1" applyFont="1" applyBorder="1"/>
    <xf numFmtId="44" fontId="17" fillId="0" borderId="2" xfId="1" applyFont="1" applyBorder="1"/>
    <xf numFmtId="44" fontId="17" fillId="0" borderId="61" xfId="1" applyNumberFormat="1" applyFont="1" applyBorder="1"/>
    <xf numFmtId="8" fontId="10" fillId="0" borderId="0" xfId="0" applyNumberFormat="1" applyFont="1"/>
    <xf numFmtId="0" fontId="13" fillId="0" borderId="14" xfId="0" applyNumberFormat="1" applyFont="1" applyBorder="1" applyAlignment="1">
      <alignment horizontal="center" vertical="center"/>
    </xf>
    <xf numFmtId="43" fontId="0" fillId="0" borderId="0" xfId="0" applyNumberFormat="1"/>
    <xf numFmtId="0" fontId="13" fillId="0" borderId="27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2" fontId="10" fillId="2" borderId="15" xfId="0" applyNumberFormat="1" applyFont="1" applyFill="1" applyBorder="1"/>
    <xf numFmtId="42" fontId="10" fillId="0" borderId="0" xfId="0" applyNumberFormat="1" applyFont="1"/>
    <xf numFmtId="0" fontId="40" fillId="0" borderId="0" xfId="0" applyFont="1"/>
    <xf numFmtId="0" fontId="41" fillId="0" borderId="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2" borderId="28" xfId="0" applyFont="1" applyFill="1" applyBorder="1"/>
    <xf numFmtId="42" fontId="40" fillId="0" borderId="29" xfId="0" applyNumberFormat="1" applyFont="1" applyFill="1" applyBorder="1"/>
    <xf numFmtId="42" fontId="40" fillId="0" borderId="3" xfId="0" applyNumberFormat="1" applyFont="1" applyFill="1" applyBorder="1"/>
    <xf numFmtId="0" fontId="40" fillId="2" borderId="1" xfId="0" applyFont="1" applyFill="1" applyBorder="1"/>
    <xf numFmtId="0" fontId="40" fillId="2" borderId="4" xfId="0" applyFont="1" applyFill="1" applyBorder="1"/>
    <xf numFmtId="42" fontId="40" fillId="0" borderId="24" xfId="0" applyNumberFormat="1" applyFont="1" applyFill="1" applyBorder="1"/>
    <xf numFmtId="0" fontId="40" fillId="2" borderId="28" xfId="0" applyFont="1" applyFill="1" applyBorder="1" applyAlignment="1">
      <alignment wrapText="1"/>
    </xf>
    <xf numFmtId="42" fontId="40" fillId="3" borderId="29" xfId="0" applyNumberFormat="1" applyFont="1" applyFill="1" applyBorder="1"/>
    <xf numFmtId="0" fontId="40" fillId="0" borderId="1" xfId="0" applyFont="1" applyBorder="1"/>
    <xf numFmtId="42" fontId="40" fillId="3" borderId="3" xfId="0" applyNumberFormat="1" applyFont="1" applyFill="1" applyBorder="1"/>
    <xf numFmtId="0" fontId="40" fillId="0" borderId="37" xfId="0" applyFont="1" applyBorder="1"/>
    <xf numFmtId="0" fontId="40" fillId="2" borderId="17" xfId="0" applyFont="1" applyFill="1" applyBorder="1"/>
    <xf numFmtId="42" fontId="40" fillId="0" borderId="8" xfId="0" applyNumberFormat="1" applyFont="1" applyFill="1" applyBorder="1"/>
    <xf numFmtId="0" fontId="42" fillId="0" borderId="16" xfId="0" applyFont="1" applyBorder="1"/>
    <xf numFmtId="0" fontId="12" fillId="0" borderId="16" xfId="0" applyFont="1" applyFill="1" applyBorder="1" applyAlignment="1">
      <alignment horizontal="left" vertical="top"/>
    </xf>
    <xf numFmtId="44" fontId="12" fillId="0" borderId="16" xfId="1" applyNumberFormat="1" applyFont="1" applyBorder="1" applyAlignment="1"/>
    <xf numFmtId="0" fontId="40" fillId="0" borderId="28" xfId="0" applyFont="1" applyFill="1" applyBorder="1"/>
    <xf numFmtId="0" fontId="40" fillId="0" borderId="1" xfId="0" applyFont="1" applyFill="1" applyBorder="1"/>
    <xf numFmtId="0" fontId="40" fillId="0" borderId="4" xfId="0" applyFont="1" applyFill="1" applyBorder="1"/>
    <xf numFmtId="0" fontId="40" fillId="0" borderId="5" xfId="0" applyFont="1" applyBorder="1"/>
    <xf numFmtId="42" fontId="40" fillId="0" borderId="6" xfId="0" applyNumberFormat="1" applyFont="1" applyFill="1" applyBorder="1"/>
    <xf numFmtId="42" fontId="40" fillId="3" borderId="6" xfId="0" applyNumberFormat="1" applyFont="1" applyFill="1" applyBorder="1"/>
    <xf numFmtId="42" fontId="40" fillId="2" borderId="29" xfId="0" applyNumberFormat="1" applyFont="1" applyFill="1" applyBorder="1"/>
    <xf numFmtId="42" fontId="40" fillId="0" borderId="55" xfId="0" applyNumberFormat="1" applyFont="1" applyFill="1" applyBorder="1"/>
    <xf numFmtId="42" fontId="40" fillId="2" borderId="55" xfId="0" applyNumberFormat="1" applyFont="1" applyFill="1" applyBorder="1"/>
    <xf numFmtId="0" fontId="21" fillId="0" borderId="35" xfId="0" applyFont="1" applyBorder="1" applyAlignment="1">
      <alignment horizontal="left"/>
    </xf>
    <xf numFmtId="42" fontId="40" fillId="0" borderId="13" xfId="0" applyNumberFormat="1" applyFont="1" applyFill="1" applyBorder="1"/>
    <xf numFmtId="0" fontId="40" fillId="0" borderId="54" xfId="0" applyFont="1" applyFill="1" applyBorder="1"/>
    <xf numFmtId="42" fontId="40" fillId="3" borderId="24" xfId="0" applyNumberFormat="1" applyFont="1" applyFill="1" applyBorder="1"/>
    <xf numFmtId="42" fontId="10" fillId="0" borderId="12" xfId="0" applyNumberFormat="1" applyFont="1" applyFill="1" applyBorder="1"/>
    <xf numFmtId="42" fontId="10" fillId="0" borderId="62" xfId="0" applyNumberFormat="1" applyFont="1" applyFill="1" applyBorder="1"/>
    <xf numFmtId="42" fontId="10" fillId="0" borderId="33" xfId="0" applyNumberFormat="1" applyFont="1" applyFill="1" applyBorder="1"/>
    <xf numFmtId="42" fontId="10" fillId="0" borderId="2" xfId="0" applyNumberFormat="1" applyFont="1" applyFill="1" applyBorder="1"/>
    <xf numFmtId="41" fontId="10" fillId="0" borderId="51" xfId="0" applyNumberFormat="1" applyFont="1" applyFill="1" applyBorder="1"/>
    <xf numFmtId="43" fontId="10" fillId="0" borderId="51" xfId="0" applyNumberFormat="1" applyFont="1" applyFill="1" applyBorder="1"/>
    <xf numFmtId="0" fontId="40" fillId="2" borderId="55" xfId="0" applyFont="1" applyFill="1" applyBorder="1"/>
    <xf numFmtId="0" fontId="19" fillId="2" borderId="29" xfId="0" applyFont="1" applyFill="1" applyBorder="1"/>
    <xf numFmtId="44" fontId="12" fillId="0" borderId="26" xfId="0" applyNumberFormat="1" applyFont="1" applyBorder="1"/>
    <xf numFmtId="44" fontId="12" fillId="0" borderId="63" xfId="1" applyNumberFormat="1" applyFont="1" applyBorder="1" applyAlignment="1">
      <alignment horizontal="center"/>
    </xf>
    <xf numFmtId="0" fontId="10" fillId="0" borderId="8" xfId="0" applyFont="1" applyBorder="1"/>
    <xf numFmtId="44" fontId="12" fillId="0" borderId="35" xfId="0" applyNumberFormat="1" applyFont="1" applyBorder="1" applyAlignment="1">
      <alignment horizontal="center"/>
    </xf>
    <xf numFmtId="0" fontId="16" fillId="0" borderId="16" xfId="1" applyNumberFormat="1" applyFont="1" applyBorder="1" applyAlignment="1">
      <alignment horizontal="center" vertical="center"/>
    </xf>
    <xf numFmtId="0" fontId="21" fillId="0" borderId="16" xfId="0" applyFont="1" applyBorder="1"/>
    <xf numFmtId="0" fontId="12" fillId="0" borderId="16" xfId="0" applyFont="1" applyFill="1" applyBorder="1" applyAlignment="1">
      <alignment horizontal="center" vertical="center"/>
    </xf>
    <xf numFmtId="44" fontId="21" fillId="0" borderId="16" xfId="0" applyNumberFormat="1" applyFont="1" applyFill="1" applyBorder="1"/>
    <xf numFmtId="42" fontId="10" fillId="0" borderId="26" xfId="0" applyNumberFormat="1" applyFont="1" applyBorder="1"/>
    <xf numFmtId="0" fontId="21" fillId="0" borderId="20" xfId="0" applyFont="1" applyFill="1" applyBorder="1"/>
    <xf numFmtId="0" fontId="12" fillId="0" borderId="54" xfId="0" applyFont="1" applyBorder="1" applyAlignment="1">
      <alignment horizontal="center"/>
    </xf>
    <xf numFmtId="44" fontId="12" fillId="0" borderId="58" xfId="0" applyNumberFormat="1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12" fillId="0" borderId="38" xfId="0" applyFont="1" applyFill="1" applyBorder="1" applyAlignment="1">
      <alignment horizontal="right"/>
    </xf>
    <xf numFmtId="0" fontId="21" fillId="0" borderId="23" xfId="0" applyFont="1" applyFill="1" applyBorder="1"/>
    <xf numFmtId="0" fontId="21" fillId="0" borderId="22" xfId="0" applyFont="1" applyBorder="1" applyAlignment="1">
      <alignment horizontal="left" vertical="center"/>
    </xf>
    <xf numFmtId="0" fontId="12" fillId="0" borderId="20" xfId="0" applyFont="1" applyBorder="1" applyAlignment="1">
      <alignment vertical="center" wrapText="1"/>
    </xf>
    <xf numFmtId="44" fontId="12" fillId="0" borderId="30" xfId="1" applyNumberFormat="1" applyFont="1" applyBorder="1" applyAlignment="1">
      <alignment horizontal="left"/>
    </xf>
    <xf numFmtId="44" fontId="12" fillId="0" borderId="30" xfId="0" applyNumberFormat="1" applyFont="1" applyBorder="1"/>
    <xf numFmtId="44" fontId="12" fillId="0" borderId="31" xfId="0" applyNumberFormat="1" applyFont="1" applyBorder="1"/>
    <xf numFmtId="0" fontId="12" fillId="0" borderId="42" xfId="0" applyFont="1" applyBorder="1"/>
    <xf numFmtId="44" fontId="12" fillId="0" borderId="41" xfId="0" applyNumberFormat="1" applyFont="1" applyBorder="1"/>
    <xf numFmtId="0" fontId="12" fillId="0" borderId="47" xfId="0" applyFont="1" applyBorder="1"/>
    <xf numFmtId="0" fontId="12" fillId="0" borderId="20" xfId="0" applyFont="1" applyFill="1" applyBorder="1" applyAlignment="1">
      <alignment vertical="top"/>
    </xf>
    <xf numFmtId="0" fontId="12" fillId="0" borderId="20" xfId="0" applyFont="1" applyFill="1" applyBorder="1" applyAlignment="1">
      <alignment vertical="top" wrapText="1"/>
    </xf>
    <xf numFmtId="44" fontId="12" fillId="0" borderId="67" xfId="1" applyNumberFormat="1" applyFont="1" applyBorder="1" applyAlignment="1"/>
    <xf numFmtId="0" fontId="21" fillId="0" borderId="16" xfId="0" applyFont="1" applyFill="1" applyBorder="1" applyAlignment="1">
      <alignment horizontal="left" vertical="top"/>
    </xf>
    <xf numFmtId="0" fontId="21" fillId="0" borderId="19" xfId="0" applyFont="1" applyBorder="1" applyAlignment="1">
      <alignment horizontal="left"/>
    </xf>
    <xf numFmtId="44" fontId="21" fillId="0" borderId="19" xfId="0" applyNumberFormat="1" applyFont="1" applyBorder="1"/>
    <xf numFmtId="44" fontId="32" fillId="0" borderId="16" xfId="0" applyNumberFormat="1" applyFont="1" applyBorder="1"/>
    <xf numFmtId="44" fontId="32" fillId="0" borderId="19" xfId="0" applyNumberFormat="1" applyFont="1" applyBorder="1"/>
    <xf numFmtId="0" fontId="12" fillId="0" borderId="19" xfId="0" applyFont="1" applyBorder="1" applyAlignment="1">
      <alignment horizontal="left"/>
    </xf>
    <xf numFmtId="44" fontId="12" fillId="0" borderId="60" xfId="0" applyNumberFormat="1" applyFont="1" applyBorder="1" applyAlignment="1">
      <alignment horizontal="center"/>
    </xf>
    <xf numFmtId="44" fontId="10" fillId="0" borderId="63" xfId="0" applyNumberFormat="1" applyFont="1" applyBorder="1" applyAlignment="1">
      <alignment horizontal="center"/>
    </xf>
    <xf numFmtId="44" fontId="10" fillId="0" borderId="26" xfId="0" applyNumberFormat="1" applyFont="1" applyBorder="1" applyAlignment="1">
      <alignment horizontal="center"/>
    </xf>
    <xf numFmtId="0" fontId="20" fillId="0" borderId="16" xfId="0" applyFont="1" applyBorder="1" applyAlignment="1"/>
    <xf numFmtId="0" fontId="25" fillId="0" borderId="47" xfId="0" applyFont="1" applyBorder="1"/>
    <xf numFmtId="44" fontId="12" fillId="0" borderId="26" xfId="1" applyNumberFormat="1" applyFont="1" applyBorder="1" applyAlignment="1">
      <alignment horizontal="center"/>
    </xf>
    <xf numFmtId="44" fontId="12" fillId="0" borderId="26" xfId="0" applyNumberFormat="1" applyFont="1" applyBorder="1" applyAlignment="1">
      <alignment horizontal="center"/>
    </xf>
    <xf numFmtId="0" fontId="16" fillId="0" borderId="3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2" xfId="0" applyNumberFormat="1" applyFont="1" applyBorder="1" applyAlignment="1">
      <alignment horizontal="center" vertical="center"/>
    </xf>
    <xf numFmtId="44" fontId="12" fillId="0" borderId="2" xfId="0" applyNumberFormat="1" applyFont="1" applyFill="1" applyBorder="1" applyAlignment="1">
      <alignment horizontal="center" vertical="center"/>
    </xf>
    <xf numFmtId="44" fontId="21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1" fillId="0" borderId="22" xfId="0" applyFont="1" applyFill="1" applyBorder="1"/>
    <xf numFmtId="0" fontId="12" fillId="0" borderId="58" xfId="0" applyFont="1" applyBorder="1" applyAlignment="1">
      <alignment horizontal="center" vertical="center"/>
    </xf>
    <xf numFmtId="44" fontId="12" fillId="0" borderId="30" xfId="1" applyNumberFormat="1" applyFont="1" applyFill="1" applyBorder="1"/>
    <xf numFmtId="44" fontId="10" fillId="0" borderId="26" xfId="0" applyNumberFormat="1" applyFont="1" applyBorder="1"/>
    <xf numFmtId="44" fontId="12" fillId="0" borderId="16" xfId="0" applyNumberFormat="1" applyFont="1" applyBorder="1" applyAlignment="1">
      <alignment vertical="center"/>
    </xf>
    <xf numFmtId="0" fontId="12" fillId="3" borderId="26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2" fillId="0" borderId="53" xfId="0" applyFont="1" applyBorder="1" applyAlignment="1">
      <alignment horizontal="left"/>
    </xf>
    <xf numFmtId="44" fontId="12" fillId="0" borderId="53" xfId="1" applyFont="1" applyBorder="1"/>
    <xf numFmtId="0" fontId="16" fillId="0" borderId="19" xfId="0" applyFont="1" applyBorder="1" applyAlignment="1">
      <alignment horizontal="center"/>
    </xf>
    <xf numFmtId="0" fontId="16" fillId="0" borderId="19" xfId="1" applyNumberFormat="1" applyFont="1" applyBorder="1" applyAlignment="1">
      <alignment horizontal="center"/>
    </xf>
    <xf numFmtId="44" fontId="14" fillId="0" borderId="2" xfId="1" applyNumberFormat="1" applyFont="1" applyFill="1" applyBorder="1"/>
    <xf numFmtId="0" fontId="21" fillId="0" borderId="20" xfId="0" applyFont="1" applyBorder="1" applyAlignment="1">
      <alignment wrapText="1"/>
    </xf>
    <xf numFmtId="0" fontId="21" fillId="0" borderId="20" xfId="0" applyFont="1" applyBorder="1" applyAlignment="1">
      <alignment horizontal="center"/>
    </xf>
    <xf numFmtId="0" fontId="21" fillId="0" borderId="20" xfId="0" applyFont="1" applyBorder="1"/>
    <xf numFmtId="0" fontId="21" fillId="0" borderId="41" xfId="0" applyFont="1" applyBorder="1" applyAlignment="1">
      <alignment horizontal="left"/>
    </xf>
    <xf numFmtId="44" fontId="12" fillId="0" borderId="1" xfId="0" applyNumberFormat="1" applyFont="1" applyBorder="1" applyAlignment="1">
      <alignment horizontal="left" vertical="center"/>
    </xf>
    <xf numFmtId="0" fontId="14" fillId="3" borderId="32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44" fontId="12" fillId="0" borderId="16" xfId="0" applyNumberFormat="1" applyFont="1" applyFill="1" applyBorder="1" applyAlignment="1">
      <alignment horizontal="center"/>
    </xf>
    <xf numFmtId="44" fontId="12" fillId="0" borderId="16" xfId="0" applyNumberFormat="1" applyFont="1" applyFill="1" applyBorder="1" applyAlignment="1">
      <alignment vertical="center"/>
    </xf>
    <xf numFmtId="44" fontId="12" fillId="0" borderId="16" xfId="1" applyFont="1" applyFill="1" applyBorder="1"/>
    <xf numFmtId="42" fontId="0" fillId="0" borderId="13" xfId="0" applyNumberFormat="1" applyBorder="1"/>
    <xf numFmtId="44" fontId="12" fillId="0" borderId="22" xfId="1" applyNumberFormat="1" applyFont="1" applyBorder="1" applyAlignment="1">
      <alignment horizontal="left"/>
    </xf>
    <xf numFmtId="44" fontId="12" fillId="0" borderId="30" xfId="1" applyNumberFormat="1" applyFont="1" applyBorder="1"/>
    <xf numFmtId="0" fontId="12" fillId="0" borderId="31" xfId="0" applyFont="1" applyBorder="1"/>
    <xf numFmtId="0" fontId="16" fillId="3" borderId="32" xfId="0" applyFont="1" applyFill="1" applyBorder="1" applyAlignment="1">
      <alignment horizontal="center"/>
    </xf>
    <xf numFmtId="0" fontId="17" fillId="3" borderId="32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6" fillId="3" borderId="28" xfId="0" applyFont="1" applyFill="1" applyBorder="1" applyAlignment="1">
      <alignment horizontal="center"/>
    </xf>
    <xf numFmtId="0" fontId="12" fillId="0" borderId="35" xfId="0" applyFont="1" applyBorder="1" applyAlignment="1">
      <alignment horizontal="left"/>
    </xf>
    <xf numFmtId="0" fontId="14" fillId="0" borderId="3" xfId="0" applyFont="1" applyFill="1" applyBorder="1"/>
    <xf numFmtId="44" fontId="12" fillId="0" borderId="16" xfId="1" applyNumberFormat="1" applyFont="1" applyFill="1" applyBorder="1" applyAlignment="1">
      <alignment horizontal="left"/>
    </xf>
    <xf numFmtId="0" fontId="10" fillId="0" borderId="52" xfId="0" applyFont="1" applyFill="1" applyBorder="1" applyAlignment="1">
      <alignment horizontal="center"/>
    </xf>
    <xf numFmtId="44" fontId="10" fillId="0" borderId="52" xfId="0" applyNumberFormat="1" applyFont="1" applyFill="1" applyBorder="1" applyAlignment="1">
      <alignment horizontal="center"/>
    </xf>
    <xf numFmtId="164" fontId="0" fillId="0" borderId="52" xfId="0" applyNumberForma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78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79" xfId="0" applyFill="1" applyBorder="1" applyAlignment="1">
      <alignment horizontal="center"/>
    </xf>
    <xf numFmtId="44" fontId="12" fillId="0" borderId="0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1" xfId="0" applyFont="1" applyBorder="1"/>
    <xf numFmtId="44" fontId="12" fillId="0" borderId="60" xfId="0" applyNumberFormat="1" applyFont="1" applyFill="1" applyBorder="1"/>
    <xf numFmtId="42" fontId="0" fillId="0" borderId="0" xfId="0" applyNumberFormat="1" applyBorder="1"/>
    <xf numFmtId="42" fontId="28" fillId="0" borderId="0" xfId="0" applyNumberFormat="1" applyFont="1"/>
    <xf numFmtId="42" fontId="0" fillId="0" borderId="75" xfId="0" applyNumberFormat="1" applyBorder="1" applyAlignment="1">
      <alignment vertical="center"/>
    </xf>
    <xf numFmtId="0" fontId="10" fillId="0" borderId="17" xfId="0" applyNumberFormat="1" applyFont="1" applyBorder="1" applyAlignment="1">
      <alignment horizontal="center"/>
    </xf>
    <xf numFmtId="0" fontId="10" fillId="0" borderId="42" xfId="0" applyNumberFormat="1" applyFont="1" applyBorder="1" applyAlignment="1">
      <alignment horizontal="center"/>
    </xf>
    <xf numFmtId="0" fontId="10" fillId="0" borderId="43" xfId="0" applyFont="1" applyBorder="1"/>
    <xf numFmtId="0" fontId="10" fillId="0" borderId="13" xfId="0" applyFont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46" fillId="0" borderId="0" xfId="0" applyFont="1"/>
    <xf numFmtId="42" fontId="46" fillId="0" borderId="13" xfId="0" applyNumberFormat="1" applyFont="1" applyBorder="1"/>
    <xf numFmtId="42" fontId="46" fillId="0" borderId="0" xfId="0" applyNumberFormat="1" applyFont="1" applyFill="1" applyBorder="1" applyAlignment="1">
      <alignment horizontal="left"/>
    </xf>
    <xf numFmtId="42" fontId="46" fillId="0" borderId="0" xfId="0" applyNumberFormat="1" applyFont="1"/>
    <xf numFmtId="42" fontId="45" fillId="0" borderId="80" xfId="0" applyNumberFormat="1" applyFont="1" applyBorder="1" applyAlignment="1">
      <alignment horizontal="left" vertical="center"/>
    </xf>
    <xf numFmtId="42" fontId="46" fillId="0" borderId="3" xfId="0" applyNumberFormat="1" applyFont="1" applyBorder="1" applyAlignment="1">
      <alignment horizontal="left"/>
    </xf>
    <xf numFmtId="42" fontId="46" fillId="0" borderId="3" xfId="0" applyNumberFormat="1" applyFont="1" applyFill="1" applyBorder="1" applyAlignment="1">
      <alignment horizontal="left"/>
    </xf>
    <xf numFmtId="42" fontId="46" fillId="0" borderId="3" xfId="0" applyNumberFormat="1" applyFont="1" applyFill="1" applyBorder="1" applyAlignment="1"/>
    <xf numFmtId="42" fontId="46" fillId="0" borderId="73" xfId="0" applyNumberFormat="1" applyFont="1" applyBorder="1" applyAlignment="1">
      <alignment horizontal="left" vertical="center"/>
    </xf>
    <xf numFmtId="42" fontId="46" fillId="0" borderId="6" xfId="0" applyNumberFormat="1" applyFont="1" applyBorder="1" applyAlignment="1">
      <alignment horizontal="left"/>
    </xf>
    <xf numFmtId="42" fontId="46" fillId="0" borderId="24" xfId="0" applyNumberFormat="1" applyFont="1" applyBorder="1" applyAlignment="1">
      <alignment horizontal="left"/>
    </xf>
    <xf numFmtId="42" fontId="46" fillId="0" borderId="24" xfId="0" applyNumberFormat="1" applyFont="1" applyFill="1" applyBorder="1" applyAlignment="1">
      <alignment horizontal="left"/>
    </xf>
    <xf numFmtId="42" fontId="46" fillId="0" borderId="6" xfId="0" applyNumberFormat="1" applyFont="1" applyFill="1" applyBorder="1" applyAlignment="1">
      <alignment horizontal="left"/>
    </xf>
    <xf numFmtId="44" fontId="12" fillId="0" borderId="16" xfId="1" applyNumberFormat="1" applyFont="1" applyFill="1" applyBorder="1" applyAlignment="1">
      <alignment horizontal="center"/>
    </xf>
    <xf numFmtId="44" fontId="12" fillId="0" borderId="19" xfId="1" applyFont="1" applyFill="1" applyBorder="1" applyAlignment="1">
      <alignment horizontal="left"/>
    </xf>
    <xf numFmtId="44" fontId="12" fillId="0" borderId="41" xfId="0" applyNumberFormat="1" applyFont="1" applyFill="1" applyBorder="1"/>
    <xf numFmtId="0" fontId="16" fillId="0" borderId="16" xfId="0" applyFont="1" applyFill="1" applyBorder="1" applyAlignment="1">
      <alignment horizontal="center" vertical="center"/>
    </xf>
    <xf numFmtId="42" fontId="46" fillId="0" borderId="43" xfId="0" applyNumberFormat="1" applyFont="1" applyBorder="1"/>
    <xf numFmtId="0" fontId="13" fillId="0" borderId="13" xfId="0" applyFont="1" applyBorder="1" applyAlignment="1">
      <alignment vertical="top"/>
    </xf>
    <xf numFmtId="42" fontId="46" fillId="0" borderId="8" xfId="0" applyNumberFormat="1" applyFont="1" applyFill="1" applyBorder="1" applyAlignment="1">
      <alignment horizontal="left"/>
    </xf>
    <xf numFmtId="0" fontId="37" fillId="0" borderId="0" xfId="0" applyFont="1" applyAlignment="1"/>
    <xf numFmtId="0" fontId="10" fillId="0" borderId="81" xfId="0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44" fontId="10" fillId="0" borderId="78" xfId="0" applyNumberFormat="1" applyFont="1" applyFill="1" applyBorder="1" applyAlignment="1">
      <alignment horizontal="center"/>
    </xf>
    <xf numFmtId="0" fontId="10" fillId="0" borderId="78" xfId="0" applyFont="1" applyFill="1" applyBorder="1" applyAlignment="1">
      <alignment horizontal="center"/>
    </xf>
    <xf numFmtId="42" fontId="10" fillId="0" borderId="16" xfId="0" applyNumberFormat="1" applyFont="1" applyFill="1" applyBorder="1"/>
    <xf numFmtId="43" fontId="14" fillId="0" borderId="0" xfId="0" applyNumberFormat="1" applyFont="1" applyBorder="1"/>
    <xf numFmtId="0" fontId="17" fillId="3" borderId="25" xfId="0" applyFont="1" applyFill="1" applyBorder="1" applyAlignment="1">
      <alignment horizontal="center" vertical="center"/>
    </xf>
    <xf numFmtId="42" fontId="12" fillId="0" borderId="16" xfId="0" applyNumberFormat="1" applyFont="1" applyFill="1" applyBorder="1" applyAlignment="1">
      <alignment vertical="center"/>
    </xf>
    <xf numFmtId="42" fontId="12" fillId="0" borderId="16" xfId="0" applyNumberFormat="1" applyFont="1" applyBorder="1" applyAlignment="1">
      <alignment vertical="center"/>
    </xf>
    <xf numFmtId="42" fontId="12" fillId="0" borderId="16" xfId="0" applyNumberFormat="1" applyFont="1" applyBorder="1"/>
    <xf numFmtId="42" fontId="12" fillId="0" borderId="16" xfId="0" applyNumberFormat="1" applyFont="1" applyFill="1" applyBorder="1"/>
    <xf numFmtId="42" fontId="12" fillId="0" borderId="41" xfId="0" applyNumberFormat="1" applyFont="1" applyBorder="1"/>
    <xf numFmtId="42" fontId="12" fillId="0" borderId="41" xfId="0" applyNumberFormat="1" applyFont="1" applyFill="1" applyBorder="1"/>
    <xf numFmtId="42" fontId="12" fillId="0" borderId="26" xfId="0" applyNumberFormat="1" applyFont="1" applyBorder="1" applyAlignment="1">
      <alignment horizontal="center"/>
    </xf>
    <xf numFmtId="42" fontId="12" fillId="0" borderId="26" xfId="0" applyNumberFormat="1" applyFont="1" applyFill="1" applyBorder="1" applyAlignment="1">
      <alignment horizontal="center"/>
    </xf>
    <xf numFmtId="42" fontId="23" fillId="0" borderId="0" xfId="0" applyNumberFormat="1" applyFont="1" applyFill="1" applyBorder="1"/>
    <xf numFmtId="42" fontId="17" fillId="0" borderId="0" xfId="0" applyNumberFormat="1" applyFont="1" applyFill="1" applyBorder="1" applyAlignment="1">
      <alignment vertical="center"/>
    </xf>
    <xf numFmtId="42" fontId="17" fillId="0" borderId="0" xfId="0" applyNumberFormat="1" applyFont="1" applyFill="1" applyBorder="1"/>
    <xf numFmtId="42" fontId="17" fillId="0" borderId="0" xfId="0" applyNumberFormat="1" applyFont="1" applyBorder="1"/>
    <xf numFmtId="42" fontId="12" fillId="0" borderId="16" xfId="0" applyNumberFormat="1" applyFont="1" applyFill="1" applyBorder="1" applyAlignment="1">
      <alignment horizontal="center"/>
    </xf>
    <xf numFmtId="42" fontId="12" fillId="0" borderId="16" xfId="0" applyNumberFormat="1" applyFont="1" applyBorder="1" applyAlignment="1">
      <alignment horizontal="center"/>
    </xf>
    <xf numFmtId="42" fontId="12" fillId="0" borderId="19" xfId="0" applyNumberFormat="1" applyFont="1" applyBorder="1" applyAlignment="1">
      <alignment horizontal="center"/>
    </xf>
    <xf numFmtId="42" fontId="12" fillId="0" borderId="19" xfId="0" applyNumberFormat="1" applyFont="1" applyFill="1" applyBorder="1" applyAlignment="1">
      <alignment horizontal="center"/>
    </xf>
    <xf numFmtId="42" fontId="12" fillId="0" borderId="21" xfId="0" applyNumberFormat="1" applyFont="1" applyBorder="1" applyAlignment="1">
      <alignment horizontal="center"/>
    </xf>
    <xf numFmtId="42" fontId="12" fillId="0" borderId="21" xfId="0" applyNumberFormat="1" applyFont="1" applyFill="1" applyBorder="1" applyAlignment="1">
      <alignment horizontal="center"/>
    </xf>
    <xf numFmtId="42" fontId="14" fillId="0" borderId="0" xfId="0" applyNumberFormat="1" applyFont="1" applyBorder="1"/>
    <xf numFmtId="44" fontId="47" fillId="0" borderId="16" xfId="1" applyFont="1" applyBorder="1" applyAlignment="1">
      <alignment horizontal="center" wrapText="1"/>
    </xf>
    <xf numFmtId="44" fontId="47" fillId="0" borderId="20" xfId="1" applyFont="1" applyBorder="1" applyAlignment="1">
      <alignment horizontal="center" wrapText="1"/>
    </xf>
    <xf numFmtId="44" fontId="47" fillId="0" borderId="1" xfId="1" applyFont="1" applyBorder="1" applyAlignment="1">
      <alignment horizontal="center"/>
    </xf>
    <xf numFmtId="44" fontId="47" fillId="0" borderId="2" xfId="1" applyFont="1" applyBorder="1" applyAlignment="1">
      <alignment horizontal="center"/>
    </xf>
    <xf numFmtId="44" fontId="12" fillId="0" borderId="20" xfId="0" applyNumberFormat="1" applyFont="1" applyBorder="1" applyAlignment="1">
      <alignment horizontal="center"/>
    </xf>
    <xf numFmtId="42" fontId="12" fillId="0" borderId="20" xfId="0" applyNumberFormat="1" applyFont="1" applyBorder="1" applyAlignment="1">
      <alignment horizontal="center"/>
    </xf>
    <xf numFmtId="42" fontId="12" fillId="0" borderId="1" xfId="0" applyNumberFormat="1" applyFont="1" applyBorder="1" applyAlignment="1">
      <alignment horizontal="center"/>
    </xf>
    <xf numFmtId="42" fontId="12" fillId="0" borderId="2" xfId="0" applyNumberFormat="1" applyFont="1" applyBorder="1" applyAlignment="1">
      <alignment horizontal="center"/>
    </xf>
    <xf numFmtId="42" fontId="12" fillId="6" borderId="1" xfId="0" applyNumberFormat="1" applyFont="1" applyFill="1" applyBorder="1" applyAlignment="1">
      <alignment horizontal="center"/>
    </xf>
    <xf numFmtId="42" fontId="12" fillId="6" borderId="2" xfId="0" applyNumberFormat="1" applyFont="1" applyFill="1" applyBorder="1" applyAlignment="1">
      <alignment horizontal="center"/>
    </xf>
    <xf numFmtId="44" fontId="12" fillId="0" borderId="20" xfId="0" applyNumberFormat="1" applyFont="1" applyBorder="1"/>
    <xf numFmtId="42" fontId="12" fillId="0" borderId="0" xfId="0" applyNumberFormat="1" applyFont="1" applyBorder="1"/>
    <xf numFmtId="42" fontId="12" fillId="6" borderId="1" xfId="0" applyNumberFormat="1" applyFont="1" applyFill="1" applyBorder="1"/>
    <xf numFmtId="42" fontId="12" fillId="6" borderId="2" xfId="0" applyNumberFormat="1" applyFont="1" applyFill="1" applyBorder="1"/>
    <xf numFmtId="42" fontId="12" fillId="0" borderId="22" xfId="0" applyNumberFormat="1" applyFont="1" applyBorder="1" applyAlignment="1">
      <alignment horizontal="center" wrapText="1"/>
    </xf>
    <xf numFmtId="42" fontId="5" fillId="0" borderId="69" xfId="0" applyNumberFormat="1" applyFont="1" applyBorder="1" applyAlignment="1">
      <alignment horizontal="center" wrapText="1"/>
    </xf>
    <xf numFmtId="42" fontId="12" fillId="0" borderId="1" xfId="0" applyNumberFormat="1" applyFont="1" applyFill="1" applyBorder="1"/>
    <xf numFmtId="42" fontId="12" fillId="0" borderId="2" xfId="0" applyNumberFormat="1" applyFont="1" applyFill="1" applyBorder="1"/>
    <xf numFmtId="44" fontId="12" fillId="0" borderId="1" xfId="0" applyNumberFormat="1" applyFont="1" applyBorder="1"/>
    <xf numFmtId="42" fontId="12" fillId="0" borderId="1" xfId="0" applyNumberFormat="1" applyFont="1" applyBorder="1"/>
    <xf numFmtId="0" fontId="12" fillId="0" borderId="47" xfId="0" applyFont="1" applyBorder="1" applyAlignment="1"/>
    <xf numFmtId="44" fontId="12" fillId="0" borderId="35" xfId="0" applyNumberFormat="1" applyFont="1" applyBorder="1"/>
    <xf numFmtId="44" fontId="12" fillId="0" borderId="47" xfId="0" applyNumberFormat="1" applyFont="1" applyBorder="1"/>
    <xf numFmtId="42" fontId="12" fillId="0" borderId="47" xfId="0" applyNumberFormat="1" applyFont="1" applyBorder="1"/>
    <xf numFmtId="42" fontId="12" fillId="0" borderId="71" xfId="0" applyNumberFormat="1" applyFont="1" applyFill="1" applyBorder="1"/>
    <xf numFmtId="42" fontId="12" fillId="0" borderId="72" xfId="0" applyNumberFormat="1" applyFont="1" applyFill="1" applyBorder="1"/>
    <xf numFmtId="44" fontId="12" fillId="0" borderId="59" xfId="1" applyFont="1" applyBorder="1" applyAlignment="1">
      <alignment horizontal="center"/>
    </xf>
    <xf numFmtId="42" fontId="12" fillId="0" borderId="59" xfId="1" applyNumberFormat="1" applyFont="1" applyBorder="1" applyAlignment="1">
      <alignment horizontal="center"/>
    </xf>
    <xf numFmtId="42" fontId="12" fillId="0" borderId="70" xfId="1" applyNumberFormat="1" applyFont="1" applyFill="1" applyBorder="1" applyAlignment="1">
      <alignment horizontal="center"/>
    </xf>
    <xf numFmtId="42" fontId="12" fillId="0" borderId="50" xfId="1" applyNumberFormat="1" applyFont="1" applyFill="1" applyBorder="1" applyAlignment="1">
      <alignment horizontal="center"/>
    </xf>
    <xf numFmtId="42" fontId="25" fillId="0" borderId="16" xfId="0" applyNumberFormat="1" applyFont="1" applyBorder="1" applyAlignment="1">
      <alignment horizontal="center"/>
    </xf>
    <xf numFmtId="42" fontId="16" fillId="0" borderId="16" xfId="0" applyNumberFormat="1" applyFont="1" applyBorder="1" applyAlignment="1">
      <alignment horizontal="center"/>
    </xf>
    <xf numFmtId="42" fontId="12" fillId="0" borderId="35" xfId="0" applyNumberFormat="1" applyFont="1" applyBorder="1" applyAlignment="1">
      <alignment horizontal="center"/>
    </xf>
    <xf numFmtId="42" fontId="12" fillId="0" borderId="35" xfId="0" applyNumberFormat="1" applyFont="1" applyFill="1" applyBorder="1" applyAlignment="1">
      <alignment horizontal="center"/>
    </xf>
    <xf numFmtId="42" fontId="26" fillId="0" borderId="16" xfId="0" applyNumberFormat="1" applyFont="1" applyBorder="1" applyAlignment="1">
      <alignment horizontal="center"/>
    </xf>
    <xf numFmtId="42" fontId="10" fillId="0" borderId="16" xfId="0" applyNumberFormat="1" applyFont="1" applyBorder="1" applyAlignment="1">
      <alignment horizontal="center"/>
    </xf>
    <xf numFmtId="42" fontId="10" fillId="0" borderId="16" xfId="0" applyNumberFormat="1" applyFont="1" applyFill="1" applyBorder="1" applyAlignment="1">
      <alignment horizontal="center"/>
    </xf>
    <xf numFmtId="42" fontId="16" fillId="0" borderId="16" xfId="1" applyNumberFormat="1" applyFont="1" applyBorder="1" applyAlignment="1">
      <alignment horizontal="center"/>
    </xf>
    <xf numFmtId="42" fontId="26" fillId="0" borderId="16" xfId="1" applyNumberFormat="1" applyFont="1" applyBorder="1"/>
    <xf numFmtId="42" fontId="12" fillId="0" borderId="16" xfId="1" applyNumberFormat="1" applyFont="1" applyFill="1" applyBorder="1"/>
    <xf numFmtId="42" fontId="26" fillId="0" borderId="16" xfId="1" applyNumberFormat="1" applyFont="1" applyFill="1" applyBorder="1"/>
    <xf numFmtId="42" fontId="12" fillId="0" borderId="19" xfId="1" applyNumberFormat="1" applyFont="1" applyBorder="1" applyAlignment="1">
      <alignment horizontal="left"/>
    </xf>
    <xf numFmtId="42" fontId="12" fillId="0" borderId="19" xfId="1" applyNumberFormat="1" applyFont="1" applyFill="1" applyBorder="1" applyAlignment="1">
      <alignment horizontal="left"/>
    </xf>
    <xf numFmtId="42" fontId="12" fillId="0" borderId="21" xfId="1" applyNumberFormat="1" applyFont="1" applyBorder="1"/>
    <xf numFmtId="42" fontId="12" fillId="0" borderId="21" xfId="1" applyNumberFormat="1" applyFont="1" applyFill="1" applyBorder="1"/>
    <xf numFmtId="42" fontId="25" fillId="0" borderId="16" xfId="1" applyNumberFormat="1" applyFont="1" applyBorder="1" applyAlignment="1">
      <alignment horizontal="center"/>
    </xf>
    <xf numFmtId="42" fontId="12" fillId="0" borderId="16" xfId="1" applyNumberFormat="1" applyFont="1" applyBorder="1"/>
    <xf numFmtId="42" fontId="12" fillId="0" borderId="16" xfId="1" applyNumberFormat="1" applyFont="1" applyBorder="1" applyAlignment="1">
      <alignment horizontal="center"/>
    </xf>
    <xf numFmtId="42" fontId="12" fillId="0" borderId="19" xfId="1" applyNumberFormat="1" applyFont="1" applyBorder="1" applyAlignment="1">
      <alignment horizontal="center"/>
    </xf>
    <xf numFmtId="42" fontId="12" fillId="0" borderId="19" xfId="1" applyNumberFormat="1" applyFont="1" applyFill="1" applyBorder="1" applyAlignment="1">
      <alignment horizontal="center"/>
    </xf>
    <xf numFmtId="42" fontId="12" fillId="0" borderId="16" xfId="1" applyNumberFormat="1" applyFont="1" applyFill="1" applyBorder="1" applyAlignment="1">
      <alignment horizontal="center"/>
    </xf>
    <xf numFmtId="42" fontId="12" fillId="0" borderId="16" xfId="1" applyNumberFormat="1" applyFont="1" applyBorder="1" applyAlignment="1">
      <alignment horizontal="left"/>
    </xf>
    <xf numFmtId="42" fontId="12" fillId="0" borderId="31" xfId="0" applyNumberFormat="1" applyFont="1" applyBorder="1"/>
    <xf numFmtId="42" fontId="12" fillId="0" borderId="31" xfId="0" applyNumberFormat="1" applyFont="1" applyFill="1" applyBorder="1"/>
    <xf numFmtId="42" fontId="12" fillId="0" borderId="30" xfId="0" applyNumberFormat="1" applyFont="1" applyBorder="1"/>
    <xf numFmtId="42" fontId="12" fillId="0" borderId="30" xfId="1" applyNumberFormat="1" applyFont="1" applyBorder="1" applyAlignment="1">
      <alignment horizontal="left"/>
    </xf>
    <xf numFmtId="42" fontId="12" fillId="0" borderId="30" xfId="1" applyNumberFormat="1" applyFont="1" applyFill="1" applyBorder="1"/>
    <xf numFmtId="42" fontId="12" fillId="0" borderId="30" xfId="0" applyNumberFormat="1" applyFont="1" applyFill="1" applyBorder="1"/>
    <xf numFmtId="42" fontId="12" fillId="0" borderId="26" xfId="0" applyNumberFormat="1" applyFont="1" applyBorder="1"/>
    <xf numFmtId="42" fontId="12" fillId="0" borderId="26" xfId="0" applyNumberFormat="1" applyFont="1" applyFill="1" applyBorder="1"/>
    <xf numFmtId="42" fontId="16" fillId="0" borderId="16" xfId="0" applyNumberFormat="1" applyFont="1" applyFill="1" applyBorder="1" applyAlignment="1">
      <alignment horizontal="center"/>
    </xf>
    <xf numFmtId="42" fontId="10" fillId="0" borderId="16" xfId="1" applyNumberFormat="1" applyFont="1" applyBorder="1"/>
    <xf numFmtId="42" fontId="10" fillId="0" borderId="60" xfId="0" applyNumberFormat="1" applyFont="1" applyBorder="1"/>
    <xf numFmtId="42" fontId="13" fillId="0" borderId="16" xfId="0" applyNumberFormat="1" applyFont="1" applyFill="1" applyBorder="1" applyAlignment="1">
      <alignment horizontal="center"/>
    </xf>
    <xf numFmtId="42" fontId="25" fillId="0" borderId="16" xfId="1" applyNumberFormat="1" applyFont="1" applyBorder="1" applyAlignment="1"/>
    <xf numFmtId="42" fontId="25" fillId="0" borderId="16" xfId="1" applyNumberFormat="1" applyFont="1" applyBorder="1"/>
    <xf numFmtId="42" fontId="12" fillId="0" borderId="60" xfId="1" applyNumberFormat="1" applyFont="1" applyBorder="1" applyAlignment="1">
      <alignment horizontal="left"/>
    </xf>
    <xf numFmtId="42" fontId="12" fillId="0" borderId="21" xfId="1" applyNumberFormat="1" applyFont="1" applyFill="1" applyBorder="1" applyAlignment="1">
      <alignment horizontal="left"/>
    </xf>
    <xf numFmtId="42" fontId="10" fillId="0" borderId="19" xfId="0" applyNumberFormat="1" applyFont="1" applyBorder="1"/>
    <xf numFmtId="42" fontId="12" fillId="0" borderId="2" xfId="0" applyNumberFormat="1" applyFont="1" applyBorder="1" applyAlignment="1">
      <alignment horizontal="center" vertical="center"/>
    </xf>
    <xf numFmtId="42" fontId="12" fillId="0" borderId="2" xfId="0" applyNumberFormat="1" applyFont="1" applyFill="1" applyBorder="1" applyAlignment="1">
      <alignment horizontal="center" vertical="center"/>
    </xf>
    <xf numFmtId="42" fontId="10" fillId="0" borderId="19" xfId="0" applyNumberFormat="1" applyFont="1" applyBorder="1" applyAlignment="1">
      <alignment horizontal="center"/>
    </xf>
    <xf numFmtId="42" fontId="10" fillId="0" borderId="16" xfId="1" applyNumberFormat="1" applyFont="1" applyBorder="1" applyAlignment="1">
      <alignment horizontal="left"/>
    </xf>
    <xf numFmtId="42" fontId="12" fillId="0" borderId="19" xfId="0" applyNumberFormat="1" applyFont="1" applyBorder="1"/>
    <xf numFmtId="42" fontId="12" fillId="0" borderId="21" xfId="0" applyNumberFormat="1" applyFont="1" applyBorder="1"/>
    <xf numFmtId="42" fontId="10" fillId="0" borderId="21" xfId="1" applyNumberFormat="1" applyFont="1" applyBorder="1" applyAlignment="1">
      <alignment horizontal="left"/>
    </xf>
    <xf numFmtId="42" fontId="12" fillId="0" borderId="53" xfId="1" applyNumberFormat="1" applyFont="1" applyBorder="1"/>
    <xf numFmtId="42" fontId="12" fillId="0" borderId="19" xfId="1" applyNumberFormat="1" applyFont="1" applyBorder="1"/>
    <xf numFmtId="42" fontId="12" fillId="0" borderId="21" xfId="1" applyNumberFormat="1" applyFont="1" applyBorder="1" applyAlignment="1">
      <alignment horizontal="center"/>
    </xf>
    <xf numFmtId="42" fontId="10" fillId="0" borderId="21" xfId="0" applyNumberFormat="1" applyFont="1" applyBorder="1" applyAlignment="1">
      <alignment horizontal="center"/>
    </xf>
    <xf numFmtId="42" fontId="10" fillId="0" borderId="19" xfId="1" applyNumberFormat="1" applyFont="1" applyBorder="1" applyAlignment="1">
      <alignment horizontal="left"/>
    </xf>
    <xf numFmtId="42" fontId="26" fillId="0" borderId="16" xfId="1" applyNumberFormat="1" applyFont="1" applyBorder="1" applyAlignment="1">
      <alignment horizontal="center"/>
    </xf>
    <xf numFmtId="42" fontId="12" fillId="0" borderId="16" xfId="1" applyNumberFormat="1" applyFont="1" applyBorder="1" applyAlignment="1"/>
    <xf numFmtId="42" fontId="12" fillId="0" borderId="16" xfId="1" applyNumberFormat="1" applyFont="1" applyFill="1" applyBorder="1" applyAlignment="1"/>
    <xf numFmtId="42" fontId="12" fillId="0" borderId="67" xfId="1" applyNumberFormat="1" applyFont="1" applyBorder="1" applyAlignment="1"/>
    <xf numFmtId="42" fontId="12" fillId="0" borderId="63" xfId="1" applyNumberFormat="1" applyFont="1" applyBorder="1" applyAlignment="1">
      <alignment horizontal="center"/>
    </xf>
    <xf numFmtId="42" fontId="12" fillId="0" borderId="60" xfId="0" applyNumberFormat="1" applyFont="1" applyBorder="1"/>
    <xf numFmtId="42" fontId="25" fillId="0" borderId="16" xfId="0" applyNumberFormat="1" applyFont="1" applyFill="1" applyBorder="1" applyAlignment="1">
      <alignment horizontal="center"/>
    </xf>
    <xf numFmtId="42" fontId="12" fillId="0" borderId="68" xfId="0" applyNumberFormat="1" applyFont="1" applyFill="1" applyBorder="1" applyAlignment="1">
      <alignment horizontal="center"/>
    </xf>
    <xf numFmtId="42" fontId="12" fillId="0" borderId="53" xfId="0" applyNumberFormat="1" applyFont="1" applyFill="1" applyBorder="1" applyAlignment="1">
      <alignment horizontal="center"/>
    </xf>
    <xf numFmtId="42" fontId="12" fillId="0" borderId="68" xfId="0" applyNumberFormat="1" applyFont="1" applyFill="1" applyBorder="1"/>
    <xf numFmtId="42" fontId="12" fillId="0" borderId="60" xfId="0" applyNumberFormat="1" applyFont="1" applyFill="1" applyBorder="1"/>
    <xf numFmtId="42" fontId="12" fillId="0" borderId="21" xfId="1" applyNumberFormat="1" applyFont="1" applyBorder="1" applyAlignment="1">
      <alignment horizontal="left"/>
    </xf>
    <xf numFmtId="42" fontId="21" fillId="0" borderId="16" xfId="0" applyNumberFormat="1" applyFont="1" applyBorder="1"/>
    <xf numFmtId="42" fontId="21" fillId="0" borderId="19" xfId="0" applyNumberFormat="1" applyFont="1" applyBorder="1"/>
    <xf numFmtId="42" fontId="12" fillId="0" borderId="41" xfId="0" applyNumberFormat="1" applyFont="1" applyBorder="1" applyAlignment="1">
      <alignment horizontal="center"/>
    </xf>
    <xf numFmtId="42" fontId="38" fillId="0" borderId="16" xfId="0" applyNumberFormat="1" applyFont="1" applyBorder="1" applyAlignment="1">
      <alignment horizontal="center"/>
    </xf>
    <xf numFmtId="42" fontId="21" fillId="0" borderId="16" xfId="0" applyNumberFormat="1" applyFont="1" applyBorder="1" applyAlignment="1">
      <alignment horizontal="center"/>
    </xf>
    <xf numFmtId="42" fontId="12" fillId="0" borderId="60" xfId="0" applyNumberFormat="1" applyFont="1" applyBorder="1" applyAlignment="1">
      <alignment horizontal="center"/>
    </xf>
    <xf numFmtId="42" fontId="33" fillId="0" borderId="16" xfId="0" applyNumberFormat="1" applyFont="1" applyBorder="1" applyAlignment="1">
      <alignment horizontal="center"/>
    </xf>
    <xf numFmtId="42" fontId="10" fillId="0" borderId="63" xfId="0" applyNumberFormat="1" applyFont="1" applyBorder="1" applyAlignment="1">
      <alignment horizontal="center"/>
    </xf>
    <xf numFmtId="42" fontId="12" fillId="0" borderId="16" xfId="1" applyNumberFormat="1" applyFont="1" applyFill="1" applyBorder="1" applyAlignment="1">
      <alignment horizontal="left"/>
    </xf>
    <xf numFmtId="42" fontId="12" fillId="0" borderId="60" xfId="1" applyNumberFormat="1" applyFont="1" applyBorder="1"/>
    <xf numFmtId="42" fontId="12" fillId="0" borderId="26" xfId="1" applyNumberFormat="1" applyFont="1" applyBorder="1" applyAlignment="1">
      <alignment horizontal="center"/>
    </xf>
    <xf numFmtId="0" fontId="12" fillId="2" borderId="16" xfId="0" applyFont="1" applyFill="1" applyBorder="1"/>
    <xf numFmtId="44" fontId="12" fillId="2" borderId="16" xfId="1" applyNumberFormat="1" applyFont="1" applyFill="1" applyBorder="1" applyAlignment="1">
      <alignment horizontal="center"/>
    </xf>
    <xf numFmtId="42" fontId="12" fillId="2" borderId="16" xfId="1" applyNumberFormat="1" applyFont="1" applyFill="1" applyBorder="1" applyAlignment="1">
      <alignment horizontal="center"/>
    </xf>
    <xf numFmtId="0" fontId="21" fillId="0" borderId="23" xfId="0" applyFont="1" applyBorder="1"/>
    <xf numFmtId="44" fontId="12" fillId="0" borderId="41" xfId="1" applyNumberFormat="1" applyFont="1" applyBorder="1" applyAlignment="1">
      <alignment horizontal="center"/>
    </xf>
    <xf numFmtId="44" fontId="12" fillId="0" borderId="41" xfId="1" applyNumberFormat="1" applyFont="1" applyFill="1" applyBorder="1" applyAlignment="1">
      <alignment horizontal="center"/>
    </xf>
    <xf numFmtId="42" fontId="12" fillId="0" borderId="41" xfId="1" applyNumberFormat="1" applyFont="1" applyFill="1" applyBorder="1" applyAlignment="1">
      <alignment horizontal="center"/>
    </xf>
    <xf numFmtId="0" fontId="12" fillId="0" borderId="58" xfId="0" applyFont="1" applyBorder="1"/>
    <xf numFmtId="42" fontId="12" fillId="0" borderId="58" xfId="0" applyNumberFormat="1" applyFont="1" applyBorder="1" applyAlignment="1">
      <alignment horizontal="center"/>
    </xf>
    <xf numFmtId="44" fontId="12" fillId="0" borderId="16" xfId="1" applyFont="1" applyFill="1" applyBorder="1" applyAlignment="1">
      <alignment horizontal="left"/>
    </xf>
    <xf numFmtId="44" fontId="12" fillId="0" borderId="21" xfId="1" applyFont="1" applyBorder="1" applyAlignment="1">
      <alignment horizontal="left"/>
    </xf>
    <xf numFmtId="44" fontId="12" fillId="2" borderId="16" xfId="1" applyFont="1" applyFill="1" applyBorder="1"/>
    <xf numFmtId="42" fontId="12" fillId="2" borderId="16" xfId="1" applyNumberFormat="1" applyFont="1" applyFill="1" applyBorder="1"/>
    <xf numFmtId="44" fontId="21" fillId="0" borderId="16" xfId="1" applyFont="1" applyFill="1" applyBorder="1" applyAlignment="1">
      <alignment horizontal="left"/>
    </xf>
    <xf numFmtId="44" fontId="21" fillId="0" borderId="19" xfId="1" applyFont="1" applyFill="1" applyBorder="1" applyAlignment="1">
      <alignment horizontal="left"/>
    </xf>
    <xf numFmtId="44" fontId="21" fillId="0" borderId="60" xfId="1" applyFont="1" applyFill="1" applyBorder="1" applyAlignment="1">
      <alignment horizontal="left"/>
    </xf>
    <xf numFmtId="44" fontId="12" fillId="0" borderId="60" xfId="1" applyFont="1" applyFill="1" applyBorder="1" applyAlignment="1">
      <alignment horizontal="left"/>
    </xf>
    <xf numFmtId="42" fontId="12" fillId="0" borderId="60" xfId="1" applyNumberFormat="1" applyFont="1" applyFill="1" applyBorder="1" applyAlignment="1">
      <alignment horizontal="left"/>
    </xf>
    <xf numFmtId="0" fontId="16" fillId="2" borderId="53" xfId="0" applyFont="1" applyFill="1" applyBorder="1" applyAlignment="1">
      <alignment horizontal="left"/>
    </xf>
    <xf numFmtId="44" fontId="16" fillId="2" borderId="53" xfId="1" applyFont="1" applyFill="1" applyBorder="1"/>
    <xf numFmtId="42" fontId="48" fillId="0" borderId="0" xfId="0" applyNumberFormat="1" applyFont="1"/>
    <xf numFmtId="42" fontId="12" fillId="0" borderId="38" xfId="0" applyNumberFormat="1" applyFont="1" applyBorder="1" applyAlignment="1">
      <alignment vertical="center"/>
    </xf>
    <xf numFmtId="0" fontId="12" fillId="0" borderId="25" xfId="0" applyFont="1" applyBorder="1"/>
    <xf numFmtId="44" fontId="12" fillId="0" borderId="49" xfId="0" applyNumberFormat="1" applyFont="1" applyFill="1" applyBorder="1" applyAlignment="1">
      <alignment horizontal="center" vertical="center"/>
    </xf>
    <xf numFmtId="44" fontId="12" fillId="0" borderId="53" xfId="0" applyNumberFormat="1" applyFont="1" applyFill="1" applyBorder="1" applyAlignment="1">
      <alignment horizontal="center" vertical="center"/>
    </xf>
    <xf numFmtId="44" fontId="12" fillId="2" borderId="41" xfId="0" applyNumberFormat="1" applyFont="1" applyFill="1" applyBorder="1" applyAlignment="1">
      <alignment horizontal="center" vertical="center"/>
    </xf>
    <xf numFmtId="42" fontId="12" fillId="0" borderId="41" xfId="0" applyNumberFormat="1" applyFont="1" applyFill="1" applyBorder="1" applyAlignment="1">
      <alignment horizontal="center" vertical="center"/>
    </xf>
    <xf numFmtId="0" fontId="12" fillId="0" borderId="49" xfId="0" applyFont="1" applyBorder="1" applyAlignment="1"/>
    <xf numFmtId="44" fontId="12" fillId="2" borderId="49" xfId="0" applyNumberFormat="1" applyFont="1" applyFill="1" applyBorder="1" applyAlignment="1">
      <alignment horizontal="center" vertical="center"/>
    </xf>
    <xf numFmtId="42" fontId="12" fillId="0" borderId="49" xfId="0" applyNumberFormat="1" applyFont="1" applyFill="1" applyBorder="1" applyAlignment="1">
      <alignment horizontal="center" vertical="center"/>
    </xf>
    <xf numFmtId="42" fontId="12" fillId="0" borderId="47" xfId="0" applyNumberFormat="1" applyFont="1" applyFill="1" applyBorder="1" applyAlignment="1">
      <alignment horizontal="center" vertical="center"/>
    </xf>
    <xf numFmtId="0" fontId="12" fillId="0" borderId="25" xfId="0" applyFont="1" applyFill="1" applyBorder="1"/>
    <xf numFmtId="44" fontId="12" fillId="0" borderId="25" xfId="0" applyNumberFormat="1" applyFont="1" applyFill="1" applyBorder="1"/>
    <xf numFmtId="42" fontId="12" fillId="0" borderId="25" xfId="0" applyNumberFormat="1" applyFont="1" applyFill="1" applyBorder="1"/>
    <xf numFmtId="0" fontId="12" fillId="0" borderId="41" xfId="0" applyFont="1" applyFill="1" applyBorder="1"/>
    <xf numFmtId="44" fontId="12" fillId="0" borderId="25" xfId="0" applyNumberFormat="1" applyFont="1" applyBorder="1" applyAlignment="1">
      <alignment horizontal="center" vertical="center"/>
    </xf>
    <xf numFmtId="42" fontId="12" fillId="0" borderId="25" xfId="0" applyNumberFormat="1" applyFont="1" applyBorder="1" applyAlignment="1">
      <alignment horizontal="center" vertical="center"/>
    </xf>
    <xf numFmtId="42" fontId="12" fillId="0" borderId="16" xfId="0" applyNumberFormat="1" applyFont="1" applyBorder="1" applyAlignment="1">
      <alignment horizontal="center" vertical="center"/>
    </xf>
    <xf numFmtId="44" fontId="12" fillId="0" borderId="41" xfId="0" applyNumberFormat="1" applyFont="1" applyBorder="1" applyAlignment="1">
      <alignment horizontal="center" vertical="center"/>
    </xf>
    <xf numFmtId="42" fontId="12" fillId="0" borderId="41" xfId="0" applyNumberFormat="1" applyFont="1" applyBorder="1" applyAlignment="1">
      <alignment horizontal="center" vertical="center"/>
    </xf>
    <xf numFmtId="44" fontId="12" fillId="0" borderId="58" xfId="0" applyNumberFormat="1" applyFont="1" applyBorder="1" applyAlignment="1">
      <alignment horizontal="center" vertical="center"/>
    </xf>
    <xf numFmtId="42" fontId="12" fillId="0" borderId="58" xfId="0" applyNumberFormat="1" applyFont="1" applyBorder="1" applyAlignment="1">
      <alignment horizontal="center" vertical="center"/>
    </xf>
    <xf numFmtId="42" fontId="12" fillId="0" borderId="47" xfId="0" applyNumberFormat="1" applyFont="1" applyBorder="1" applyAlignment="1">
      <alignment horizontal="center" vertical="center"/>
    </xf>
    <xf numFmtId="0" fontId="12" fillId="0" borderId="25" xfId="0" applyFont="1" applyBorder="1" applyAlignment="1"/>
    <xf numFmtId="44" fontId="12" fillId="2" borderId="25" xfId="0" applyNumberFormat="1" applyFont="1" applyFill="1" applyBorder="1" applyAlignment="1">
      <alignment horizontal="center" vertical="center"/>
    </xf>
    <xf numFmtId="42" fontId="12" fillId="2" borderId="25" xfId="0" applyNumberFormat="1" applyFont="1" applyFill="1" applyBorder="1" applyAlignment="1">
      <alignment horizontal="center" vertical="center"/>
    </xf>
    <xf numFmtId="44" fontId="12" fillId="2" borderId="16" xfId="0" applyNumberFormat="1" applyFont="1" applyFill="1" applyBorder="1" applyAlignment="1">
      <alignment horizontal="center" vertical="center"/>
    </xf>
    <xf numFmtId="42" fontId="12" fillId="2" borderId="16" xfId="0" applyNumberFormat="1" applyFont="1" applyFill="1" applyBorder="1" applyAlignment="1">
      <alignment horizontal="center" vertical="center"/>
    </xf>
    <xf numFmtId="44" fontId="12" fillId="0" borderId="25" xfId="0" applyNumberFormat="1" applyFont="1" applyBorder="1"/>
    <xf numFmtId="42" fontId="12" fillId="0" borderId="25" xfId="0" applyNumberFormat="1" applyFont="1" applyBorder="1"/>
    <xf numFmtId="42" fontId="12" fillId="0" borderId="0" xfId="0" applyNumberFormat="1" applyFont="1"/>
    <xf numFmtId="0" fontId="12" fillId="2" borderId="19" xfId="0" applyFont="1" applyFill="1" applyBorder="1" applyAlignment="1"/>
    <xf numFmtId="44" fontId="12" fillId="0" borderId="19" xfId="0" applyNumberFormat="1" applyFont="1" applyFill="1" applyBorder="1"/>
    <xf numFmtId="42" fontId="12" fillId="0" borderId="19" xfId="0" applyNumberFormat="1" applyFont="1" applyFill="1" applyBorder="1"/>
    <xf numFmtId="0" fontId="12" fillId="2" borderId="25" xfId="0" applyFont="1" applyFill="1" applyBorder="1" applyAlignment="1"/>
    <xf numFmtId="0" fontId="12" fillId="2" borderId="41" xfId="0" applyFont="1" applyFill="1" applyBorder="1" applyAlignment="1"/>
    <xf numFmtId="0" fontId="12" fillId="0" borderId="26" xfId="0" applyFont="1" applyBorder="1"/>
    <xf numFmtId="0" fontId="49" fillId="0" borderId="19" xfId="0" applyFont="1" applyFill="1" applyBorder="1"/>
    <xf numFmtId="0" fontId="12" fillId="0" borderId="16" xfId="0" applyFont="1" applyFill="1" applyBorder="1" applyAlignment="1">
      <alignment horizontal="left"/>
    </xf>
    <xf numFmtId="0" fontId="12" fillId="0" borderId="16" xfId="0" applyFont="1" applyBorder="1" applyAlignment="1">
      <alignment horizontal="left" wrapText="1"/>
    </xf>
    <xf numFmtId="0" fontId="16" fillId="0" borderId="16" xfId="0" applyFont="1" applyFill="1" applyBorder="1"/>
    <xf numFmtId="44" fontId="12" fillId="0" borderId="35" xfId="1" applyNumberFormat="1" applyFont="1" applyBorder="1"/>
    <xf numFmtId="44" fontId="12" fillId="0" borderId="19" xfId="1" applyNumberFormat="1" applyFont="1" applyBorder="1"/>
    <xf numFmtId="44" fontId="12" fillId="0" borderId="21" xfId="1" applyNumberFormat="1" applyFont="1" applyBorder="1" applyAlignment="1">
      <alignment horizontal="center"/>
    </xf>
    <xf numFmtId="0" fontId="12" fillId="0" borderId="16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21" fillId="0" borderId="16" xfId="0" applyFont="1" applyBorder="1" applyAlignment="1">
      <alignment wrapText="1"/>
    </xf>
    <xf numFmtId="44" fontId="12" fillId="0" borderId="63" xfId="0" applyNumberFormat="1" applyFont="1" applyBorder="1"/>
    <xf numFmtId="42" fontId="12" fillId="0" borderId="63" xfId="0" applyNumberFormat="1" applyFont="1" applyBorder="1"/>
    <xf numFmtId="44" fontId="12" fillId="0" borderId="76" xfId="0" applyNumberFormat="1" applyFont="1" applyBorder="1" applyAlignment="1">
      <alignment horizontal="center" vertical="center"/>
    </xf>
    <xf numFmtId="42" fontId="12" fillId="0" borderId="76" xfId="0" applyNumberFormat="1" applyFont="1" applyBorder="1" applyAlignment="1">
      <alignment horizontal="center" vertical="center"/>
    </xf>
    <xf numFmtId="44" fontId="25" fillId="0" borderId="16" xfId="1" applyFont="1" applyBorder="1" applyAlignment="1">
      <alignment horizontal="center"/>
    </xf>
    <xf numFmtId="8" fontId="12" fillId="0" borderId="21" xfId="0" applyNumberFormat="1" applyFont="1" applyBorder="1"/>
    <xf numFmtId="42" fontId="12" fillId="0" borderId="41" xfId="1" applyNumberFormat="1" applyFont="1" applyBorder="1" applyAlignment="1">
      <alignment horizontal="center"/>
    </xf>
    <xf numFmtId="44" fontId="12" fillId="0" borderId="58" xfId="1" applyNumberFormat="1" applyFont="1" applyBorder="1" applyAlignment="1">
      <alignment horizontal="center"/>
    </xf>
    <xf numFmtId="42" fontId="12" fillId="0" borderId="58" xfId="1" applyNumberFormat="1" applyFont="1" applyBorder="1" applyAlignment="1">
      <alignment horizontal="center"/>
    </xf>
    <xf numFmtId="0" fontId="12" fillId="0" borderId="22" xfId="0" applyFont="1" applyBorder="1"/>
    <xf numFmtId="44" fontId="12" fillId="0" borderId="41" xfId="1" applyNumberFormat="1" applyFont="1" applyBorder="1"/>
    <xf numFmtId="44" fontId="12" fillId="0" borderId="77" xfId="0" applyNumberFormat="1" applyFont="1" applyBorder="1"/>
    <xf numFmtId="44" fontId="12" fillId="0" borderId="62" xfId="0" applyNumberFormat="1" applyFont="1" applyBorder="1"/>
    <xf numFmtId="44" fontId="12" fillId="0" borderId="55" xfId="0" applyNumberFormat="1" applyFont="1" applyBorder="1"/>
    <xf numFmtId="42" fontId="12" fillId="0" borderId="10" xfId="0" applyNumberFormat="1" applyFont="1" applyBorder="1"/>
    <xf numFmtId="42" fontId="12" fillId="0" borderId="45" xfId="0" applyNumberFormat="1" applyFont="1" applyBorder="1"/>
    <xf numFmtId="42" fontId="12" fillId="0" borderId="44" xfId="0" applyNumberFormat="1" applyFont="1" applyBorder="1"/>
    <xf numFmtId="44" fontId="12" fillId="0" borderId="16" xfId="0" applyNumberFormat="1" applyFont="1" applyBorder="1" applyAlignment="1"/>
    <xf numFmtId="44" fontId="21" fillId="0" borderId="16" xfId="0" applyNumberFormat="1" applyFont="1" applyFill="1" applyBorder="1" applyAlignment="1">
      <alignment horizontal="center"/>
    </xf>
    <xf numFmtId="42" fontId="21" fillId="0" borderId="16" xfId="0" applyNumberFormat="1" applyFont="1" applyFill="1" applyBorder="1" applyAlignment="1">
      <alignment horizontal="center"/>
    </xf>
    <xf numFmtId="0" fontId="12" fillId="0" borderId="20" xfId="0" applyFont="1" applyBorder="1" applyAlignment="1">
      <alignment horizontal="left" wrapText="1"/>
    </xf>
    <xf numFmtId="42" fontId="12" fillId="0" borderId="21" xfId="1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44" fontId="12" fillId="0" borderId="30" xfId="0" applyNumberFormat="1" applyFont="1" applyBorder="1" applyAlignment="1">
      <alignment horizontal="center"/>
    </xf>
    <xf numFmtId="42" fontId="12" fillId="0" borderId="30" xfId="0" applyNumberFormat="1" applyFont="1" applyBorder="1" applyAlignment="1">
      <alignment horizontal="center"/>
    </xf>
    <xf numFmtId="42" fontId="12" fillId="0" borderId="30" xfId="0" applyNumberFormat="1" applyFont="1" applyFill="1" applyBorder="1" applyAlignment="1">
      <alignment horizontal="center"/>
    </xf>
    <xf numFmtId="44" fontId="12" fillId="0" borderId="74" xfId="0" applyNumberFormat="1" applyFont="1" applyBorder="1"/>
    <xf numFmtId="42" fontId="12" fillId="0" borderId="74" xfId="0" applyNumberFormat="1" applyFont="1" applyBorder="1"/>
    <xf numFmtId="42" fontId="12" fillId="0" borderId="74" xfId="0" applyNumberFormat="1" applyFont="1" applyFill="1" applyBorder="1"/>
    <xf numFmtId="44" fontId="12" fillId="0" borderId="58" xfId="0" applyNumberFormat="1" applyFont="1" applyFill="1" applyBorder="1"/>
    <xf numFmtId="42" fontId="12" fillId="0" borderId="58" xfId="0" applyNumberFormat="1" applyFont="1" applyFill="1" applyBorder="1"/>
    <xf numFmtId="0" fontId="12" fillId="0" borderId="69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42" fontId="12" fillId="0" borderId="35" xfId="0" applyNumberFormat="1" applyFont="1" applyBorder="1"/>
    <xf numFmtId="43" fontId="12" fillId="0" borderId="35" xfId="0" applyNumberFormat="1" applyFont="1" applyBorder="1"/>
    <xf numFmtId="42" fontId="12" fillId="0" borderId="35" xfId="0" applyNumberFormat="1" applyFont="1" applyFill="1" applyBorder="1"/>
    <xf numFmtId="0" fontId="12" fillId="0" borderId="1" xfId="0" applyFont="1" applyBorder="1" applyAlignment="1">
      <alignment horizontal="left" wrapText="1"/>
    </xf>
    <xf numFmtId="43" fontId="12" fillId="0" borderId="25" xfId="0" applyNumberFormat="1" applyFont="1" applyBorder="1"/>
    <xf numFmtId="43" fontId="12" fillId="0" borderId="16" xfId="0" applyNumberFormat="1" applyFont="1" applyBorder="1"/>
    <xf numFmtId="43" fontId="12" fillId="0" borderId="41" xfId="0" applyNumberFormat="1" applyFont="1" applyBorder="1"/>
    <xf numFmtId="43" fontId="12" fillId="0" borderId="35" xfId="0" applyNumberFormat="1" applyFont="1" applyFill="1" applyBorder="1"/>
    <xf numFmtId="43" fontId="12" fillId="0" borderId="25" xfId="0" applyNumberFormat="1" applyFont="1" applyFill="1" applyBorder="1"/>
    <xf numFmtId="43" fontId="12" fillId="0" borderId="16" xfId="0" applyNumberFormat="1" applyFont="1" applyFill="1" applyBorder="1"/>
    <xf numFmtId="43" fontId="12" fillId="0" borderId="41" xfId="0" applyNumberFormat="1" applyFont="1" applyFill="1" applyBorder="1"/>
    <xf numFmtId="42" fontId="12" fillId="0" borderId="53" xfId="0" applyNumberFormat="1" applyFont="1" applyBorder="1"/>
    <xf numFmtId="0" fontId="12" fillId="2" borderId="1" xfId="0" applyFont="1" applyFill="1" applyBorder="1" applyAlignment="1">
      <alignment horizontal="left"/>
    </xf>
    <xf numFmtId="0" fontId="12" fillId="0" borderId="22" xfId="0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2" fillId="0" borderId="38" xfId="0" applyFont="1" applyBorder="1" applyAlignment="1">
      <alignment horizontal="center"/>
    </xf>
    <xf numFmtId="0" fontId="12" fillId="0" borderId="20" xfId="0" applyFont="1" applyBorder="1" applyAlignment="1">
      <alignment horizontal="left" vertical="center"/>
    </xf>
    <xf numFmtId="44" fontId="12" fillId="0" borderId="19" xfId="1" applyNumberFormat="1" applyFont="1" applyBorder="1" applyAlignment="1"/>
    <xf numFmtId="42" fontId="12" fillId="0" borderId="19" xfId="1" applyNumberFormat="1" applyFont="1" applyBorder="1" applyAlignment="1"/>
    <xf numFmtId="0" fontId="10" fillId="0" borderId="5" xfId="0" applyNumberFormat="1" applyFont="1" applyBorder="1" applyAlignment="1">
      <alignment horizontal="center"/>
    </xf>
    <xf numFmtId="0" fontId="10" fillId="0" borderId="6" xfId="0" applyFont="1" applyBorder="1"/>
    <xf numFmtId="0" fontId="31" fillId="0" borderId="85" xfId="0" applyNumberFormat="1" applyFont="1" applyBorder="1" applyAlignment="1">
      <alignment horizontal="center" vertical="center"/>
    </xf>
    <xf numFmtId="0" fontId="11" fillId="0" borderId="85" xfId="0" applyFont="1" applyBorder="1" applyAlignment="1">
      <alignment horizontal="left" vertical="center"/>
    </xf>
    <xf numFmtId="0" fontId="45" fillId="0" borderId="85" xfId="0" applyFont="1" applyBorder="1" applyAlignment="1">
      <alignment horizontal="center" vertical="center" wrapText="1"/>
    </xf>
    <xf numFmtId="44" fontId="10" fillId="0" borderId="87" xfId="0" applyNumberFormat="1" applyFont="1" applyFill="1" applyBorder="1" applyAlignment="1">
      <alignment horizontal="center"/>
    </xf>
    <xf numFmtId="44" fontId="10" fillId="0" borderId="88" xfId="0" applyNumberFormat="1" applyFont="1" applyFill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2" fontId="43" fillId="0" borderId="36" xfId="0" applyNumberFormat="1" applyFont="1" applyBorder="1" applyAlignment="1">
      <alignment horizontal="center" textRotation="90"/>
    </xf>
    <xf numFmtId="42" fontId="14" fillId="0" borderId="0" xfId="0" applyNumberFormat="1" applyFont="1" applyBorder="1" applyAlignment="1">
      <alignment horizontal="center" vertical="center"/>
    </xf>
    <xf numFmtId="42" fontId="12" fillId="0" borderId="20" xfId="0" applyNumberFormat="1" applyFont="1" applyFill="1" applyBorder="1" applyAlignment="1">
      <alignment horizontal="center"/>
    </xf>
    <xf numFmtId="42" fontId="12" fillId="0" borderId="0" xfId="0" applyNumberFormat="1" applyFont="1" applyFill="1" applyBorder="1"/>
    <xf numFmtId="42" fontId="12" fillId="0" borderId="40" xfId="0" applyNumberFormat="1" applyFont="1" applyFill="1" applyBorder="1"/>
    <xf numFmtId="0" fontId="16" fillId="0" borderId="26" xfId="0" applyFont="1" applyBorder="1" applyAlignment="1">
      <alignment horizontal="center"/>
    </xf>
    <xf numFmtId="42" fontId="12" fillId="0" borderId="76" xfId="0" applyNumberFormat="1" applyFont="1" applyFill="1" applyBorder="1"/>
    <xf numFmtId="0" fontId="12" fillId="0" borderId="0" xfId="0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168" fontId="17" fillId="0" borderId="0" xfId="0" applyNumberFormat="1" applyFont="1" applyBorder="1"/>
    <xf numFmtId="0" fontId="21" fillId="0" borderId="58" xfId="0" applyFont="1" applyBorder="1" applyAlignment="1">
      <alignment horizontal="left"/>
    </xf>
    <xf numFmtId="0" fontId="12" fillId="0" borderId="22" xfId="0" applyFont="1" applyBorder="1" applyAlignment="1"/>
    <xf numFmtId="0" fontId="17" fillId="0" borderId="1" xfId="0" applyFont="1" applyBorder="1" applyAlignment="1">
      <alignment horizontal="center"/>
    </xf>
    <xf numFmtId="42" fontId="12" fillId="0" borderId="20" xfId="0" applyNumberFormat="1" applyFont="1" applyFill="1" applyBorder="1" applyAlignment="1">
      <alignment horizontal="center"/>
    </xf>
    <xf numFmtId="42" fontId="43" fillId="0" borderId="36" xfId="0" applyNumberFormat="1" applyFont="1" applyBorder="1" applyAlignment="1">
      <alignment horizontal="center" textRotation="90"/>
    </xf>
    <xf numFmtId="42" fontId="14" fillId="0" borderId="0" xfId="0" applyNumberFormat="1" applyFont="1" applyBorder="1" applyAlignment="1">
      <alignment horizontal="center" vertical="center"/>
    </xf>
    <xf numFmtId="42" fontId="12" fillId="0" borderId="49" xfId="0" applyNumberFormat="1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/>
    </xf>
    <xf numFmtId="0" fontId="14" fillId="0" borderId="18" xfId="0" applyFont="1" applyBorder="1"/>
    <xf numFmtId="44" fontId="14" fillId="0" borderId="61" xfId="1" applyNumberFormat="1" applyFont="1" applyFill="1" applyBorder="1"/>
    <xf numFmtId="42" fontId="10" fillId="0" borderId="16" xfId="1" applyNumberFormat="1" applyFont="1" applyBorder="1" applyAlignment="1">
      <alignment horizontal="center"/>
    </xf>
    <xf numFmtId="0" fontId="12" fillId="0" borderId="30" xfId="0" applyFont="1" applyBorder="1"/>
    <xf numFmtId="42" fontId="12" fillId="0" borderId="49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42" fontId="12" fillId="0" borderId="39" xfId="0" applyNumberFormat="1" applyFont="1" applyFill="1" applyBorder="1"/>
    <xf numFmtId="42" fontId="17" fillId="0" borderId="47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/>
    </xf>
    <xf numFmtId="42" fontId="12" fillId="0" borderId="20" xfId="0" applyNumberFormat="1" applyFont="1" applyFill="1" applyBorder="1" applyAlignment="1">
      <alignment horizontal="center"/>
    </xf>
    <xf numFmtId="42" fontId="12" fillId="0" borderId="49" xfId="0" applyNumberFormat="1" applyFont="1" applyFill="1" applyBorder="1" applyAlignment="1">
      <alignment horizontal="center" vertical="center"/>
    </xf>
    <xf numFmtId="42" fontId="12" fillId="0" borderId="53" xfId="0" applyNumberFormat="1" applyFont="1" applyFill="1" applyBorder="1"/>
    <xf numFmtId="42" fontId="12" fillId="0" borderId="69" xfId="0" applyNumberFormat="1" applyFont="1" applyFill="1" applyBorder="1"/>
    <xf numFmtId="42" fontId="43" fillId="0" borderId="36" xfId="0" applyNumberFormat="1" applyFont="1" applyBorder="1" applyAlignment="1">
      <alignment textRotation="90"/>
    </xf>
    <xf numFmtId="0" fontId="12" fillId="0" borderId="35" xfId="0" applyFont="1" applyBorder="1"/>
    <xf numFmtId="0" fontId="12" fillId="0" borderId="69" xfId="0" applyFont="1" applyBorder="1" applyAlignment="1">
      <alignment horizontal="left"/>
    </xf>
    <xf numFmtId="42" fontId="46" fillId="0" borderId="3" xfId="0" applyNumberFormat="1" applyFont="1" applyBorder="1"/>
    <xf numFmtId="0" fontId="13" fillId="0" borderId="24" xfId="0" applyFont="1" applyBorder="1" applyAlignment="1">
      <alignment horizontal="left"/>
    </xf>
    <xf numFmtId="0" fontId="0" fillId="0" borderId="49" xfId="0" applyBorder="1"/>
    <xf numFmtId="0" fontId="22" fillId="0" borderId="13" xfId="0" applyFont="1" applyBorder="1" applyAlignment="1">
      <alignment horizontal="left" vertical="center"/>
    </xf>
    <xf numFmtId="42" fontId="46" fillId="0" borderId="29" xfId="0" applyNumberFormat="1" applyFont="1" applyBorder="1" applyAlignment="1">
      <alignment vertical="center"/>
    </xf>
    <xf numFmtId="0" fontId="11" fillId="0" borderId="49" xfId="0" applyFont="1" applyBorder="1" applyAlignment="1">
      <alignment horizontal="left" vertical="center"/>
    </xf>
    <xf numFmtId="0" fontId="13" fillId="0" borderId="13" xfId="0" applyFont="1" applyBorder="1" applyAlignment="1">
      <alignment horizontal="left"/>
    </xf>
    <xf numFmtId="0" fontId="13" fillId="0" borderId="29" xfId="0" applyFont="1" applyBorder="1" applyAlignment="1">
      <alignment vertical="top"/>
    </xf>
    <xf numFmtId="42" fontId="43" fillId="0" borderId="36" xfId="0" applyNumberFormat="1" applyFont="1" applyBorder="1" applyAlignment="1">
      <alignment horizontal="center" textRotation="90"/>
    </xf>
    <xf numFmtId="42" fontId="14" fillId="0" borderId="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42" fontId="12" fillId="0" borderId="20" xfId="0" applyNumberFormat="1" applyFont="1" applyFill="1" applyBorder="1" applyAlignment="1">
      <alignment horizontal="center"/>
    </xf>
    <xf numFmtId="42" fontId="12" fillId="0" borderId="49" xfId="0" applyNumberFormat="1" applyFont="1" applyFill="1" applyBorder="1" applyAlignment="1">
      <alignment horizontal="center" vertical="center"/>
    </xf>
    <xf numFmtId="0" fontId="12" fillId="0" borderId="19" xfId="0" applyFont="1" applyBorder="1" applyAlignment="1"/>
    <xf numFmtId="0" fontId="12" fillId="0" borderId="49" xfId="0" applyFont="1" applyBorder="1"/>
    <xf numFmtId="44" fontId="12" fillId="0" borderId="35" xfId="0" applyNumberFormat="1" applyFont="1" applyBorder="1" applyAlignment="1">
      <alignment horizontal="center" vertical="center"/>
    </xf>
    <xf numFmtId="42" fontId="12" fillId="0" borderId="35" xfId="0" applyNumberFormat="1" applyFont="1" applyBorder="1" applyAlignment="1">
      <alignment horizontal="center" vertical="center"/>
    </xf>
    <xf numFmtId="42" fontId="16" fillId="0" borderId="47" xfId="0" applyNumberFormat="1" applyFont="1" applyBorder="1" applyAlignment="1">
      <alignment horizontal="center" vertical="center"/>
    </xf>
    <xf numFmtId="42" fontId="16" fillId="0" borderId="58" xfId="0" applyNumberFormat="1" applyFont="1" applyBorder="1" applyAlignment="1">
      <alignment vertical="center"/>
    </xf>
    <xf numFmtId="42" fontId="17" fillId="0" borderId="37" xfId="0" applyNumberFormat="1" applyFont="1" applyFill="1" applyBorder="1" applyAlignment="1">
      <alignment horizontal="center" vertical="center"/>
    </xf>
    <xf numFmtId="42" fontId="17" fillId="0" borderId="57" xfId="0" applyNumberFormat="1" applyFont="1" applyFill="1" applyBorder="1" applyAlignment="1">
      <alignment horizontal="center" vertical="center"/>
    </xf>
    <xf numFmtId="42" fontId="17" fillId="0" borderId="40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2" fontId="12" fillId="0" borderId="20" xfId="0" applyNumberFormat="1" applyFont="1" applyFill="1" applyBorder="1" applyAlignment="1">
      <alignment horizontal="center"/>
    </xf>
    <xf numFmtId="42" fontId="5" fillId="0" borderId="30" xfId="0" applyNumberFormat="1" applyFont="1" applyFill="1" applyBorder="1" applyAlignment="1">
      <alignment horizontal="center"/>
    </xf>
    <xf numFmtId="42" fontId="43" fillId="0" borderId="36" xfId="0" applyNumberFormat="1" applyFont="1" applyBorder="1" applyAlignment="1">
      <alignment horizontal="center" textRotation="90"/>
    </xf>
    <xf numFmtId="5" fontId="14" fillId="0" borderId="0" xfId="0" applyNumberFormat="1" applyFont="1" applyBorder="1" applyAlignment="1">
      <alignment horizontal="left" vertical="center"/>
    </xf>
    <xf numFmtId="44" fontId="12" fillId="0" borderId="19" xfId="0" applyNumberFormat="1" applyFont="1" applyBorder="1" applyAlignment="1">
      <alignment horizontal="center" wrapText="1"/>
    </xf>
    <xf numFmtId="0" fontId="5" fillId="0" borderId="53" xfId="0" applyFont="1" applyBorder="1" applyAlignment="1">
      <alignment horizontal="center" wrapText="1"/>
    </xf>
    <xf numFmtId="0" fontId="30" fillId="4" borderId="42" xfId="0" applyFont="1" applyFill="1" applyBorder="1" applyAlignment="1">
      <alignment horizontal="center" vertical="center"/>
    </xf>
    <xf numFmtId="0" fontId="30" fillId="4" borderId="43" xfId="0" applyFont="1" applyFill="1" applyBorder="1" applyAlignment="1">
      <alignment horizontal="center" vertical="center"/>
    </xf>
    <xf numFmtId="0" fontId="30" fillId="4" borderId="44" xfId="0" applyFont="1" applyFill="1" applyBorder="1" applyAlignment="1">
      <alignment horizontal="center" vertical="center"/>
    </xf>
    <xf numFmtId="42" fontId="16" fillId="0" borderId="49" xfId="0" applyNumberFormat="1" applyFont="1" applyBorder="1" applyAlignment="1">
      <alignment horizontal="center" vertical="center"/>
    </xf>
    <xf numFmtId="42" fontId="16" fillId="0" borderId="58" xfId="0" applyNumberFormat="1" applyFont="1" applyBorder="1" applyAlignment="1">
      <alignment horizontal="center" vertical="center"/>
    </xf>
    <xf numFmtId="44" fontId="12" fillId="0" borderId="49" xfId="0" applyNumberFormat="1" applyFont="1" applyFill="1" applyBorder="1" applyAlignment="1">
      <alignment horizontal="center" vertical="center"/>
    </xf>
    <xf numFmtId="44" fontId="12" fillId="0" borderId="53" xfId="0" applyNumberFormat="1" applyFont="1" applyFill="1" applyBorder="1" applyAlignment="1">
      <alignment horizontal="center" vertical="center"/>
    </xf>
    <xf numFmtId="42" fontId="16" fillId="0" borderId="49" xfId="0" applyNumberFormat="1" applyFont="1" applyFill="1" applyBorder="1" applyAlignment="1">
      <alignment horizontal="center" vertical="center"/>
    </xf>
    <xf numFmtId="42" fontId="16" fillId="0" borderId="35" xfId="0" applyNumberFormat="1" applyFont="1" applyFill="1" applyBorder="1" applyAlignment="1">
      <alignment horizontal="center" vertical="center"/>
    </xf>
    <xf numFmtId="42" fontId="16" fillId="0" borderId="58" xfId="0" applyNumberFormat="1" applyFont="1" applyFill="1" applyBorder="1" applyAlignment="1">
      <alignment horizontal="center" vertical="center"/>
    </xf>
    <xf numFmtId="42" fontId="12" fillId="0" borderId="49" xfId="0" applyNumberFormat="1" applyFont="1" applyFill="1" applyBorder="1" applyAlignment="1">
      <alignment horizontal="center" vertical="center"/>
    </xf>
    <xf numFmtId="42" fontId="12" fillId="0" borderId="35" xfId="0" applyNumberFormat="1" applyFont="1" applyFill="1" applyBorder="1" applyAlignment="1">
      <alignment horizontal="center" vertical="center"/>
    </xf>
    <xf numFmtId="42" fontId="16" fillId="0" borderId="35" xfId="0" applyNumberFormat="1" applyFont="1" applyBorder="1" applyAlignment="1">
      <alignment horizontal="center" vertical="center"/>
    </xf>
    <xf numFmtId="164" fontId="10" fillId="0" borderId="65" xfId="0" applyNumberFormat="1" applyFont="1" applyBorder="1" applyAlignment="1">
      <alignment horizontal="center"/>
    </xf>
    <xf numFmtId="164" fontId="10" fillId="0" borderId="59" xfId="0" applyNumberFormat="1" applyFont="1" applyBorder="1" applyAlignment="1">
      <alignment horizontal="center"/>
    </xf>
    <xf numFmtId="164" fontId="10" fillId="0" borderId="66" xfId="0" applyNumberFormat="1" applyFont="1" applyBorder="1" applyAlignment="1">
      <alignment horizontal="center"/>
    </xf>
    <xf numFmtId="0" fontId="44" fillId="5" borderId="0" xfId="0" applyFont="1" applyFill="1" applyAlignment="1">
      <alignment horizontal="center" vertical="center" textRotation="90"/>
    </xf>
    <xf numFmtId="0" fontId="37" fillId="0" borderId="0" xfId="0" applyFont="1" applyAlignment="1">
      <alignment horizontal="center" vertical="center" wrapText="1"/>
    </xf>
    <xf numFmtId="0" fontId="20" fillId="0" borderId="86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43" fontId="45" fillId="0" borderId="85" xfId="0" applyNumberFormat="1" applyFont="1" applyBorder="1" applyAlignment="1">
      <alignment horizontal="center" vertical="center" wrapText="1"/>
    </xf>
    <xf numFmtId="42" fontId="40" fillId="0" borderId="7" xfId="0" applyNumberFormat="1" applyFont="1" applyFill="1" applyBorder="1"/>
    <xf numFmtId="42" fontId="40" fillId="0" borderId="30" xfId="0" applyNumberFormat="1" applyFont="1" applyFill="1" applyBorder="1"/>
    <xf numFmtId="42" fontId="40" fillId="0" borderId="44" xfId="0" applyNumberFormat="1" applyFont="1" applyBorder="1"/>
    <xf numFmtId="42" fontId="40" fillId="0" borderId="33" xfId="0" applyNumberFormat="1" applyFont="1" applyBorder="1" applyAlignment="1">
      <alignment vertical="center"/>
    </xf>
    <xf numFmtId="42" fontId="40" fillId="0" borderId="89" xfId="0" applyNumberFormat="1" applyFont="1" applyBorder="1"/>
    <xf numFmtId="42" fontId="40" fillId="0" borderId="7" xfId="1" quotePrefix="1" applyNumberFormat="1" applyFont="1" applyFill="1" applyBorder="1"/>
    <xf numFmtId="42" fontId="40" fillId="0" borderId="2" xfId="1" quotePrefix="1" applyNumberFormat="1" applyFont="1" applyFill="1" applyBorder="1"/>
    <xf numFmtId="42" fontId="40" fillId="0" borderId="15" xfId="1" applyNumberFormat="1" applyFont="1" applyFill="1" applyBorder="1"/>
    <xf numFmtId="42" fontId="40" fillId="0" borderId="33" xfId="1" applyNumberFormat="1" applyFont="1" applyFill="1" applyBorder="1"/>
    <xf numFmtId="42" fontId="40" fillId="0" borderId="2" xfId="1" applyNumberFormat="1" applyFont="1" applyFill="1" applyBorder="1"/>
    <xf numFmtId="42" fontId="40" fillId="0" borderId="7" xfId="1" applyNumberFormat="1" applyFont="1" applyFill="1" applyBorder="1"/>
    <xf numFmtId="42" fontId="40" fillId="0" borderId="90" xfId="1" applyNumberFormat="1" applyFont="1" applyFill="1" applyBorder="1"/>
  </cellXfs>
  <cellStyles count="9">
    <cellStyle name="Currency" xfId="1" builtinId="4"/>
    <cellStyle name="Normal" xfId="0" builtinId="0"/>
    <cellStyle name="Normal 2" xfId="2"/>
    <cellStyle name="Normal 3" xfId="3"/>
    <cellStyle name="Normal 4" xfId="6"/>
    <cellStyle name="Normal 5" xfId="7"/>
    <cellStyle name="Normal 6" xfId="8"/>
    <cellStyle name="Percent 2" xfId="4"/>
    <cellStyle name="Percent 3" xfId="5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1.28515625" style="22" bestFit="1" customWidth="1"/>
    <col min="2" max="2" width="30.28515625" bestFit="1" customWidth="1"/>
    <col min="3" max="3" width="3" customWidth="1"/>
    <col min="4" max="4" width="14.42578125" style="436" customWidth="1"/>
    <col min="5" max="5" width="3" customWidth="1"/>
    <col min="6" max="6" width="14.42578125" style="283" bestFit="1" customWidth="1"/>
  </cols>
  <sheetData>
    <row r="1" spans="1:6" ht="33" customHeight="1" thickBot="1" x14ac:dyDescent="0.25">
      <c r="A1" s="711">
        <v>2022</v>
      </c>
      <c r="B1" s="712" t="s">
        <v>368</v>
      </c>
      <c r="C1" s="759"/>
      <c r="D1" s="713" t="s">
        <v>654</v>
      </c>
      <c r="E1" s="756"/>
      <c r="F1" s="805" t="s">
        <v>685</v>
      </c>
    </row>
    <row r="2" spans="1:6" ht="12.75" customHeight="1" x14ac:dyDescent="0.2">
      <c r="A2" s="709">
        <v>407</v>
      </c>
      <c r="B2" s="710" t="s">
        <v>185</v>
      </c>
      <c r="C2" s="431"/>
      <c r="D2" s="437">
        <v>80000</v>
      </c>
      <c r="E2" s="403"/>
      <c r="F2" s="806">
        <f>REVENUE!M3</f>
        <v>20000</v>
      </c>
    </row>
    <row r="3" spans="1:6" ht="12.6" customHeight="1" x14ac:dyDescent="0.2">
      <c r="A3" s="66">
        <v>410</v>
      </c>
      <c r="B3" s="67" t="s">
        <v>184</v>
      </c>
      <c r="C3" s="431"/>
      <c r="D3" s="754">
        <v>2858101</v>
      </c>
      <c r="E3" s="403"/>
      <c r="F3" s="807">
        <f>REVENUE!M4</f>
        <v>2610321.1407000003</v>
      </c>
    </row>
    <row r="4" spans="1:6" ht="12.6" customHeight="1" x14ac:dyDescent="0.2">
      <c r="A4" s="66">
        <v>415</v>
      </c>
      <c r="B4" s="67" t="s">
        <v>17</v>
      </c>
      <c r="C4" s="431"/>
      <c r="D4" s="754">
        <v>3099053</v>
      </c>
      <c r="E4" s="403"/>
      <c r="F4" s="807">
        <f>REVENUE!M7</f>
        <v>3930055.36</v>
      </c>
    </row>
    <row r="5" spans="1:6" ht="12.6" customHeight="1" x14ac:dyDescent="0.2">
      <c r="A5" s="66" t="s">
        <v>221</v>
      </c>
      <c r="B5" s="67" t="s">
        <v>222</v>
      </c>
      <c r="C5" s="431"/>
      <c r="D5" s="754">
        <v>38000</v>
      </c>
      <c r="E5" s="403"/>
      <c r="F5" s="807">
        <f>REVENUE!N8</f>
        <v>36500</v>
      </c>
    </row>
    <row r="6" spans="1:6" ht="12.6" customHeight="1" x14ac:dyDescent="0.2">
      <c r="A6" s="66" t="s">
        <v>32</v>
      </c>
      <c r="B6" s="67" t="s">
        <v>33</v>
      </c>
      <c r="C6" s="431"/>
      <c r="D6" s="754">
        <v>108750</v>
      </c>
      <c r="E6" s="403"/>
      <c r="F6" s="807">
        <f>REVENUE!N11</f>
        <v>108750</v>
      </c>
    </row>
    <row r="7" spans="1:6" hidden="1" x14ac:dyDescent="0.2">
      <c r="A7" s="66">
        <v>475</v>
      </c>
      <c r="B7" s="67" t="s">
        <v>34</v>
      </c>
      <c r="C7" s="431"/>
      <c r="D7" s="754"/>
      <c r="E7" s="403"/>
      <c r="F7" s="807">
        <f>REVENUE!I14</f>
        <v>0</v>
      </c>
    </row>
    <row r="8" spans="1:6" ht="12.6" customHeight="1" x14ac:dyDescent="0.2">
      <c r="A8" s="66" t="s">
        <v>35</v>
      </c>
      <c r="B8" s="67" t="s">
        <v>36</v>
      </c>
      <c r="C8" s="431"/>
      <c r="D8" s="754">
        <v>3500</v>
      </c>
      <c r="E8" s="403"/>
      <c r="F8" s="807">
        <f>REVENUE!N15</f>
        <v>3000</v>
      </c>
    </row>
    <row r="9" spans="1:6" ht="12.6" customHeight="1" x14ac:dyDescent="0.2">
      <c r="A9" s="428" t="s">
        <v>282</v>
      </c>
      <c r="B9" s="331" t="s">
        <v>37</v>
      </c>
      <c r="C9" s="431"/>
      <c r="D9" s="437">
        <v>1920500</v>
      </c>
      <c r="E9" s="403"/>
      <c r="F9" s="807">
        <f>REVENUE!N17</f>
        <v>1600</v>
      </c>
    </row>
    <row r="10" spans="1:6" s="11" customFormat="1" ht="3" customHeight="1" x14ac:dyDescent="0.2">
      <c r="A10" s="429"/>
      <c r="B10" s="430"/>
      <c r="C10" s="88"/>
      <c r="D10" s="453"/>
      <c r="E10" s="425"/>
      <c r="F10" s="808"/>
    </row>
    <row r="11" spans="1:6" s="285" customFormat="1" ht="20.25" customHeight="1" x14ac:dyDescent="0.2">
      <c r="A11" s="284"/>
      <c r="B11" s="761" t="s">
        <v>76</v>
      </c>
      <c r="C11" s="454"/>
      <c r="D11" s="758">
        <f>SUM(D2:D10)</f>
        <v>8107904</v>
      </c>
      <c r="E11" s="427"/>
      <c r="F11" s="809">
        <f>SUM(F2:F10)</f>
        <v>6710226.5007000007</v>
      </c>
    </row>
    <row r="12" spans="1:6" ht="22.5" customHeight="1" thickBot="1" x14ac:dyDescent="0.25">
      <c r="A12" s="282" t="s">
        <v>281</v>
      </c>
      <c r="B12" s="212" t="s">
        <v>650</v>
      </c>
      <c r="C12" s="757"/>
      <c r="D12" s="440"/>
      <c r="E12" s="403"/>
      <c r="F12" s="810"/>
    </row>
    <row r="13" spans="1:6" ht="12.6" customHeight="1" x14ac:dyDescent="0.2">
      <c r="A13" s="69">
        <v>501</v>
      </c>
      <c r="B13" s="70" t="s">
        <v>64</v>
      </c>
      <c r="C13" s="432"/>
      <c r="D13" s="448">
        <v>29528</v>
      </c>
      <c r="E13" s="425"/>
      <c r="F13" s="811">
        <f>'501 PROPERTY TAX FEES'!L12</f>
        <v>30304.620000000003</v>
      </c>
    </row>
    <row r="14" spans="1:6" ht="12.6" customHeight="1" x14ac:dyDescent="0.2">
      <c r="A14" s="71">
        <v>502</v>
      </c>
      <c r="B14" s="68" t="s">
        <v>127</v>
      </c>
      <c r="C14" s="433"/>
      <c r="D14" s="441">
        <v>61981</v>
      </c>
      <c r="E14" s="425"/>
      <c r="F14" s="812">
        <f>'502 SALES TAX COLLECTION COSTS'!L12</f>
        <v>78601.107199999999</v>
      </c>
    </row>
    <row r="15" spans="1:6" ht="12.6" customHeight="1" x14ac:dyDescent="0.2">
      <c r="A15" s="72">
        <v>503</v>
      </c>
      <c r="B15" s="73" t="s">
        <v>83</v>
      </c>
      <c r="C15" s="433"/>
      <c r="D15" s="446">
        <v>34914</v>
      </c>
      <c r="E15" s="425"/>
      <c r="F15" s="813">
        <f>'503 SUNSET VALLEY'!L11</f>
        <v>39103.372560000003</v>
      </c>
    </row>
    <row r="16" spans="1:6" ht="12.6" customHeight="1" x14ac:dyDescent="0.2">
      <c r="A16" s="74">
        <v>601</v>
      </c>
      <c r="B16" s="75" t="s">
        <v>180</v>
      </c>
      <c r="C16" s="433"/>
      <c r="D16" s="445">
        <v>1423026</v>
      </c>
      <c r="E16" s="425"/>
      <c r="F16" s="814">
        <f>'601 APPARATUS PMTS.'!L14+I14</f>
        <v>0</v>
      </c>
    </row>
    <row r="17" spans="1:6" ht="12.6" customHeight="1" x14ac:dyDescent="0.2">
      <c r="A17" s="71">
        <v>603</v>
      </c>
      <c r="B17" s="76" t="s">
        <v>165</v>
      </c>
      <c r="C17" s="432"/>
      <c r="D17" s="442">
        <v>96127</v>
      </c>
      <c r="E17" s="425"/>
      <c r="F17" s="815">
        <f>'603 DISPATCH &amp; COMM'!L22</f>
        <v>96975.28</v>
      </c>
    </row>
    <row r="18" spans="1:6" ht="12.6" customHeight="1" x14ac:dyDescent="0.2">
      <c r="A18" s="66">
        <v>604</v>
      </c>
      <c r="B18" s="68" t="s">
        <v>77</v>
      </c>
      <c r="C18" s="433"/>
      <c r="D18" s="441">
        <v>26000</v>
      </c>
      <c r="E18" s="425"/>
      <c r="F18" s="815">
        <f>'604 FUEL'!L9</f>
        <v>20000</v>
      </c>
    </row>
    <row r="19" spans="1:6" ht="12.6" customHeight="1" x14ac:dyDescent="0.2">
      <c r="A19" s="71">
        <v>605</v>
      </c>
      <c r="B19" s="77" t="s">
        <v>140</v>
      </c>
      <c r="C19" s="434"/>
      <c r="D19" s="443">
        <v>11233</v>
      </c>
      <c r="E19" s="425"/>
      <c r="F19" s="815">
        <f>'605 SCBA'!L25</f>
        <v>11233</v>
      </c>
    </row>
    <row r="20" spans="1:6" ht="12.6" customHeight="1" x14ac:dyDescent="0.2">
      <c r="A20" s="71">
        <v>606</v>
      </c>
      <c r="B20" s="77" t="s">
        <v>72</v>
      </c>
      <c r="C20" s="434"/>
      <c r="D20" s="443">
        <v>108050</v>
      </c>
      <c r="E20" s="425"/>
      <c r="F20" s="815">
        <f>'606 VEH MTN REP'!L25</f>
        <v>131800</v>
      </c>
    </row>
    <row r="21" spans="1:6" ht="12.6" customHeight="1" x14ac:dyDescent="0.2">
      <c r="A21" s="71">
        <v>608</v>
      </c>
      <c r="B21" s="76" t="s">
        <v>166</v>
      </c>
      <c r="C21" s="432"/>
      <c r="D21" s="442">
        <v>86579</v>
      </c>
      <c r="E21" s="425"/>
      <c r="F21" s="815">
        <f>'608 VEHICLE SUPPLIES'!L33</f>
        <v>91799</v>
      </c>
    </row>
    <row r="22" spans="1:6" ht="12.6" customHeight="1" x14ac:dyDescent="0.2">
      <c r="A22" s="71">
        <v>609</v>
      </c>
      <c r="B22" s="76" t="s">
        <v>122</v>
      </c>
      <c r="C22" s="432"/>
      <c r="D22" s="442">
        <v>63062</v>
      </c>
      <c r="E22" s="211"/>
      <c r="F22" s="815">
        <f>'609 UNIFORMS &amp; PROTECTIVE GEAR'!L12</f>
        <v>60780.3</v>
      </c>
    </row>
    <row r="23" spans="1:6" ht="12.6" customHeight="1" x14ac:dyDescent="0.2">
      <c r="A23" s="71">
        <v>611</v>
      </c>
      <c r="B23" s="76" t="s">
        <v>473</v>
      </c>
      <c r="C23" s="432"/>
      <c r="D23" s="442">
        <v>21000</v>
      </c>
      <c r="E23" s="211"/>
      <c r="F23" s="815">
        <f>'611 EMS SUPPLIES'!L13</f>
        <v>19000</v>
      </c>
    </row>
    <row r="24" spans="1:6" ht="12.6" customHeight="1" x14ac:dyDescent="0.2">
      <c r="A24" s="72">
        <v>612</v>
      </c>
      <c r="B24" s="78" t="s">
        <v>472</v>
      </c>
      <c r="C24" s="432"/>
      <c r="D24" s="455">
        <v>2350</v>
      </c>
      <c r="E24" s="211"/>
      <c r="F24" s="813">
        <f>'612 REHAB SUPPLIES'!L10</f>
        <v>2450</v>
      </c>
    </row>
    <row r="25" spans="1:6" ht="12.6" customHeight="1" x14ac:dyDescent="0.2">
      <c r="A25" s="72">
        <v>613</v>
      </c>
      <c r="B25" s="78" t="s">
        <v>188</v>
      </c>
      <c r="C25" s="432"/>
      <c r="D25" s="447">
        <v>24198</v>
      </c>
      <c r="E25" s="211"/>
      <c r="F25" s="813">
        <f>'613 AUTO INSURANCE'!L8</f>
        <v>24959</v>
      </c>
    </row>
    <row r="26" spans="1:6" ht="12.6" customHeight="1" x14ac:dyDescent="0.2">
      <c r="A26" s="79">
        <v>632</v>
      </c>
      <c r="B26" s="75" t="s">
        <v>141</v>
      </c>
      <c r="C26" s="433"/>
      <c r="D26" s="445">
        <v>124330</v>
      </c>
      <c r="E26" s="211"/>
      <c r="F26" s="814">
        <f>'632 FIRE &amp; RESCUE TRAINING'!L40</f>
        <v>161760</v>
      </c>
    </row>
    <row r="27" spans="1:6" ht="12.6" customHeight="1" x14ac:dyDescent="0.2">
      <c r="A27" s="71">
        <v>633</v>
      </c>
      <c r="B27" s="76" t="s">
        <v>125</v>
      </c>
      <c r="C27" s="432"/>
      <c r="D27" s="442">
        <v>64395</v>
      </c>
      <c r="E27" s="211"/>
      <c r="F27" s="815">
        <f>'633 SEMINARS &amp; CONFERENCES'!L23</f>
        <v>61900</v>
      </c>
    </row>
    <row r="28" spans="1:6" ht="12.6" customHeight="1" x14ac:dyDescent="0.2">
      <c r="A28" s="72">
        <v>634</v>
      </c>
      <c r="B28" s="78" t="s">
        <v>471</v>
      </c>
      <c r="C28" s="432"/>
      <c r="D28" s="442">
        <v>82825</v>
      </c>
      <c r="E28" s="211"/>
      <c r="F28" s="813">
        <f>'634 FIRE ACADEMY'!L33</f>
        <v>87325</v>
      </c>
    </row>
    <row r="29" spans="1:6" ht="12.6" customHeight="1" x14ac:dyDescent="0.2">
      <c r="A29" s="72">
        <v>635</v>
      </c>
      <c r="B29" s="78" t="s">
        <v>470</v>
      </c>
      <c r="C29" s="432"/>
      <c r="D29" s="455">
        <v>21250</v>
      </c>
      <c r="E29" s="211"/>
      <c r="F29" s="813">
        <f>'635 EMT CERT COURSE'!L19</f>
        <v>21250</v>
      </c>
    </row>
    <row r="30" spans="1:6" ht="12.6" customHeight="1" x14ac:dyDescent="0.2">
      <c r="A30" s="81">
        <v>636</v>
      </c>
      <c r="B30" s="82" t="s">
        <v>285</v>
      </c>
      <c r="C30" s="432"/>
      <c r="D30" s="447">
        <v>2598</v>
      </c>
      <c r="E30" s="211"/>
      <c r="F30" s="813">
        <f>'636 VENDING MACHINES'!L12</f>
        <v>3031</v>
      </c>
    </row>
    <row r="31" spans="1:6" ht="12.6" customHeight="1" x14ac:dyDescent="0.2">
      <c r="A31" s="69">
        <v>641</v>
      </c>
      <c r="B31" s="70" t="s">
        <v>124</v>
      </c>
      <c r="C31" s="432"/>
      <c r="D31" s="448">
        <v>1242602</v>
      </c>
      <c r="E31" s="211"/>
      <c r="F31" s="814">
        <f>'641 BENEFITS'!L28</f>
        <v>1373720.088</v>
      </c>
    </row>
    <row r="32" spans="1:6" ht="12.6" customHeight="1" x14ac:dyDescent="0.2">
      <c r="A32" s="71">
        <v>642</v>
      </c>
      <c r="B32" s="76" t="s">
        <v>378</v>
      </c>
      <c r="C32" s="432"/>
      <c r="D32" s="442">
        <v>3117062</v>
      </c>
      <c r="E32" s="211"/>
      <c r="F32" s="816">
        <v>3508176</v>
      </c>
    </row>
    <row r="33" spans="1:6" ht="12.6" customHeight="1" x14ac:dyDescent="0.2">
      <c r="A33" s="71">
        <v>643</v>
      </c>
      <c r="B33" s="76" t="s">
        <v>27</v>
      </c>
      <c r="C33" s="432"/>
      <c r="D33" s="442">
        <v>5450</v>
      </c>
      <c r="E33" s="211"/>
      <c r="F33" s="815">
        <f>'643 RECOGNITION'!L14</f>
        <v>5450</v>
      </c>
    </row>
    <row r="34" spans="1:6" ht="12.6" customHeight="1" x14ac:dyDescent="0.2">
      <c r="A34" s="71">
        <v>644</v>
      </c>
      <c r="B34" s="76" t="s">
        <v>38</v>
      </c>
      <c r="C34" s="432"/>
      <c r="D34" s="442">
        <v>12915</v>
      </c>
      <c r="E34" s="211"/>
      <c r="F34" s="813">
        <f>'644 CERTIFICATIONS'!L22</f>
        <v>12915</v>
      </c>
    </row>
    <row r="35" spans="1:6" ht="11.25" customHeight="1" x14ac:dyDescent="0.2">
      <c r="A35" s="81">
        <v>645</v>
      </c>
      <c r="B35" s="82" t="s">
        <v>65</v>
      </c>
      <c r="C35" s="432"/>
      <c r="D35" s="447">
        <v>3250</v>
      </c>
      <c r="E35" s="211"/>
      <c r="F35" s="813">
        <f>'645 RECRUITMENT'!L18</f>
        <v>3250</v>
      </c>
    </row>
    <row r="36" spans="1:6" ht="12.6" customHeight="1" x14ac:dyDescent="0.2">
      <c r="A36" s="79">
        <v>651</v>
      </c>
      <c r="B36" s="80" t="s">
        <v>123</v>
      </c>
      <c r="C36" s="432"/>
      <c r="D36" s="448">
        <v>123880</v>
      </c>
      <c r="E36" s="211"/>
      <c r="F36" s="814">
        <f>'651 BLDG GROUND MAINT'!L45</f>
        <v>190480</v>
      </c>
    </row>
    <row r="37" spans="1:6" ht="12.6" customHeight="1" x14ac:dyDescent="0.2">
      <c r="A37" s="71">
        <v>652</v>
      </c>
      <c r="B37" s="76" t="s">
        <v>119</v>
      </c>
      <c r="C37" s="432"/>
      <c r="D37" s="442">
        <v>9600</v>
      </c>
      <c r="E37" s="211"/>
      <c r="F37" s="815">
        <f>'652 OFFICE SUPPLIES'!L20</f>
        <v>6950</v>
      </c>
    </row>
    <row r="38" spans="1:6" ht="12.6" customHeight="1" x14ac:dyDescent="0.2">
      <c r="A38" s="71">
        <v>653</v>
      </c>
      <c r="B38" s="76" t="s">
        <v>128</v>
      </c>
      <c r="C38" s="432"/>
      <c r="D38" s="442">
        <v>20650</v>
      </c>
      <c r="E38" s="425"/>
      <c r="F38" s="815">
        <f>'653 STATION SUPPLIES'!L17</f>
        <v>38150</v>
      </c>
    </row>
    <row r="39" spans="1:6" ht="12.6" customHeight="1" x14ac:dyDescent="0.2">
      <c r="A39" s="71">
        <v>654</v>
      </c>
      <c r="B39" s="76" t="s">
        <v>81</v>
      </c>
      <c r="C39" s="432"/>
      <c r="D39" s="442">
        <v>2650</v>
      </c>
      <c r="E39" s="425"/>
      <c r="F39" s="815">
        <f>'654 BANK FEES'!L13</f>
        <v>2650</v>
      </c>
    </row>
    <row r="40" spans="1:6" ht="12.6" customHeight="1" x14ac:dyDescent="0.2">
      <c r="A40" s="71">
        <v>655</v>
      </c>
      <c r="B40" s="76" t="s">
        <v>126</v>
      </c>
      <c r="C40" s="432"/>
      <c r="D40" s="442">
        <v>5120</v>
      </c>
      <c r="E40" s="425"/>
      <c r="F40" s="815">
        <f>'655 DUES AND SUBSCRIPTIONS'!L23</f>
        <v>5181</v>
      </c>
    </row>
    <row r="41" spans="1:6" ht="12.6" customHeight="1" x14ac:dyDescent="0.2">
      <c r="A41" s="71">
        <v>656</v>
      </c>
      <c r="B41" s="76" t="s">
        <v>82</v>
      </c>
      <c r="C41" s="432"/>
      <c r="D41" s="442">
        <v>38201</v>
      </c>
      <c r="E41" s="425"/>
      <c r="F41" s="815">
        <f>'656 INFORMATION TECHNOLOGY'!L28</f>
        <v>42633</v>
      </c>
    </row>
    <row r="42" spans="1:6" ht="12.6" customHeight="1" x14ac:dyDescent="0.2">
      <c r="A42" s="71">
        <v>657</v>
      </c>
      <c r="B42" s="76" t="s">
        <v>80</v>
      </c>
      <c r="C42" s="432"/>
      <c r="D42" s="442">
        <v>1400</v>
      </c>
      <c r="E42" s="425"/>
      <c r="F42" s="815">
        <f>'657 POSTAGE'!L11</f>
        <v>1400</v>
      </c>
    </row>
    <row r="43" spans="1:6" ht="12.6" customHeight="1" x14ac:dyDescent="0.2">
      <c r="A43" s="71">
        <v>658</v>
      </c>
      <c r="B43" s="76" t="s">
        <v>181</v>
      </c>
      <c r="C43" s="432"/>
      <c r="D43" s="442">
        <v>42674</v>
      </c>
      <c r="E43" s="425"/>
      <c r="F43" s="815">
        <f>'658 PROP &amp; LIABILITY'!L16</f>
        <v>40947</v>
      </c>
    </row>
    <row r="44" spans="1:6" ht="12.6" customHeight="1" x14ac:dyDescent="0.2">
      <c r="A44" s="71">
        <v>659</v>
      </c>
      <c r="B44" s="76" t="s">
        <v>154</v>
      </c>
      <c r="C44" s="432"/>
      <c r="D44" s="442">
        <v>708500</v>
      </c>
      <c r="E44" s="425"/>
      <c r="F44" s="815">
        <f>'659 PROFESSIONAL SVCS'!L14</f>
        <v>37180</v>
      </c>
    </row>
    <row r="45" spans="1:6" ht="12.6" customHeight="1" x14ac:dyDescent="0.2">
      <c r="A45" s="71">
        <v>660</v>
      </c>
      <c r="B45" s="76" t="s">
        <v>155</v>
      </c>
      <c r="C45" s="432"/>
      <c r="D45" s="442">
        <v>7845</v>
      </c>
      <c r="E45" s="425"/>
      <c r="F45" s="815">
        <f>'660 PUBLIC NOTICES'!L13</f>
        <v>795</v>
      </c>
    </row>
    <row r="46" spans="1:6" ht="12.6" customHeight="1" x14ac:dyDescent="0.2">
      <c r="A46" s="71">
        <v>661</v>
      </c>
      <c r="B46" s="76" t="s">
        <v>78</v>
      </c>
      <c r="C46" s="432"/>
      <c r="D46" s="442">
        <v>8920</v>
      </c>
      <c r="E46" s="425"/>
      <c r="F46" s="815">
        <f>'661 TELEPHONE'!L12</f>
        <v>10720</v>
      </c>
    </row>
    <row r="47" spans="1:6" ht="12.6" customHeight="1" x14ac:dyDescent="0.2">
      <c r="A47" s="71">
        <v>662</v>
      </c>
      <c r="B47" s="76" t="s">
        <v>79</v>
      </c>
      <c r="C47" s="432"/>
      <c r="D47" s="442">
        <v>74640</v>
      </c>
      <c r="E47" s="425"/>
      <c r="F47" s="815">
        <f>'662 UTILITIES'!L17</f>
        <v>62699.64</v>
      </c>
    </row>
    <row r="48" spans="1:6" ht="12.6" customHeight="1" x14ac:dyDescent="0.2">
      <c r="A48" s="71">
        <v>663</v>
      </c>
      <c r="B48" s="76" t="s">
        <v>89</v>
      </c>
      <c r="C48" s="432"/>
      <c r="D48" s="442">
        <v>343900</v>
      </c>
      <c r="E48" s="425"/>
      <c r="F48" s="815">
        <f>'663 BOND DEBT SVC'!L15</f>
        <v>344600</v>
      </c>
    </row>
    <row r="49" spans="1:6" ht="12.6" customHeight="1" x14ac:dyDescent="0.2">
      <c r="A49" s="71">
        <v>664</v>
      </c>
      <c r="B49" s="76" t="s">
        <v>156</v>
      </c>
      <c r="C49" s="432"/>
      <c r="D49" s="442">
        <v>4000</v>
      </c>
      <c r="E49" s="425"/>
      <c r="F49" s="813">
        <f>'664 TCESD COMPENSATION'!L11</f>
        <v>4000</v>
      </c>
    </row>
    <row r="50" spans="1:6" x14ac:dyDescent="0.2">
      <c r="A50" s="71">
        <v>665</v>
      </c>
      <c r="B50" s="76" t="s">
        <v>19</v>
      </c>
      <c r="C50" s="432"/>
      <c r="D50" s="442">
        <v>27500</v>
      </c>
      <c r="E50" s="425"/>
      <c r="F50" s="815">
        <f>'665 GRANT MATCHING'!L13</f>
        <v>27500</v>
      </c>
    </row>
    <row r="51" spans="1:6" ht="12.6" customHeight="1" x14ac:dyDescent="0.2">
      <c r="A51" s="71">
        <v>671</v>
      </c>
      <c r="B51" s="76" t="s">
        <v>66</v>
      </c>
      <c r="C51" s="432"/>
      <c r="D51" s="442">
        <v>1250</v>
      </c>
      <c r="E51" s="425"/>
      <c r="F51" s="815">
        <f>'671 PREVENTION'!L17</f>
        <v>1250</v>
      </c>
    </row>
    <row r="52" spans="1:6" ht="12.6" customHeight="1" x14ac:dyDescent="0.2">
      <c r="A52" s="71">
        <v>672</v>
      </c>
      <c r="B52" s="76" t="s">
        <v>168</v>
      </c>
      <c r="C52" s="432"/>
      <c r="D52" s="442">
        <v>22450</v>
      </c>
      <c r="E52" s="425"/>
      <c r="F52" s="815">
        <f>'672 PUBLIC EDUCATION'!L16</f>
        <v>22450</v>
      </c>
    </row>
    <row r="53" spans="1:6" ht="17.25" customHeight="1" thickBot="1" x14ac:dyDescent="0.25">
      <c r="A53" s="138"/>
      <c r="B53" s="755" t="s">
        <v>84</v>
      </c>
      <c r="C53" s="760"/>
      <c r="D53" s="444">
        <f>SUM(D13:D52)-1</f>
        <v>8107904</v>
      </c>
      <c r="E53" s="403"/>
      <c r="F53" s="817">
        <f>SUM(F13:F52)</f>
        <v>6685368.4077599999</v>
      </c>
    </row>
    <row r="54" spans="1:6" ht="13.5" hidden="1" thickTop="1" x14ac:dyDescent="0.2">
      <c r="B54" s="18" t="s">
        <v>189</v>
      </c>
      <c r="C54" s="435"/>
      <c r="D54" s="438"/>
      <c r="E54" s="425"/>
      <c r="F54" s="211"/>
    </row>
    <row r="55" spans="1:6" ht="8.25" customHeight="1" thickTop="1" x14ac:dyDescent="0.2">
      <c r="D55" s="439"/>
      <c r="E55" s="425"/>
      <c r="F55" s="211"/>
    </row>
    <row r="56" spans="1:6" ht="15" x14ac:dyDescent="0.35">
      <c r="B56" t="s">
        <v>521</v>
      </c>
      <c r="D56" s="426">
        <f>D11-D53</f>
        <v>0</v>
      </c>
      <c r="E56" s="426"/>
      <c r="F56" s="426">
        <f>F11-F53</f>
        <v>24858.092940000817</v>
      </c>
    </row>
    <row r="57" spans="1:6" x14ac:dyDescent="0.2">
      <c r="E57" s="425"/>
      <c r="F57" s="211"/>
    </row>
    <row r="58" spans="1:6" x14ac:dyDescent="0.2">
      <c r="E58" s="425"/>
      <c r="F58" s="211"/>
    </row>
    <row r="59" spans="1:6" x14ac:dyDescent="0.2">
      <c r="E59" s="211"/>
      <c r="F59" s="211"/>
    </row>
    <row r="60" spans="1:6" x14ac:dyDescent="0.2">
      <c r="E60" s="211"/>
      <c r="F60" s="211"/>
    </row>
  </sheetData>
  <phoneticPr fontId="18" type="noConversion"/>
  <printOptions horizontalCentered="1"/>
  <pageMargins left="0.5" right="0.25" top="0.5" bottom="0.25" header="0" footer="0"/>
  <pageSetup scale="81" orientation="landscape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4.85546875" style="93" bestFit="1" customWidth="1"/>
    <col min="2" max="4" width="11.7109375" style="24" hidden="1" customWidth="1"/>
    <col min="5" max="5" width="11.42578125" style="24" hidden="1" customWidth="1"/>
    <col min="6" max="6" width="11.85546875" style="24" hidden="1" customWidth="1"/>
    <col min="7" max="8" width="12" style="24" hidden="1" customWidth="1"/>
    <col min="9" max="9" width="0" style="24" hidden="1" customWidth="1"/>
    <col min="10" max="16384" width="9.140625" style="24"/>
  </cols>
  <sheetData>
    <row r="1" spans="1:12" s="42" customFormat="1" ht="18.75" customHeight="1" x14ac:dyDescent="0.3">
      <c r="A1" s="407" t="s">
        <v>157</v>
      </c>
      <c r="B1" s="149"/>
      <c r="C1" s="149"/>
      <c r="D1" s="149"/>
      <c r="E1" s="162"/>
      <c r="F1" s="162"/>
      <c r="G1" s="162"/>
      <c r="H1" s="162"/>
      <c r="I1" s="162"/>
      <c r="J1" s="162"/>
      <c r="K1" s="162"/>
      <c r="L1" s="162"/>
    </row>
    <row r="2" spans="1:12" ht="18.75" customHeight="1" x14ac:dyDescent="0.3">
      <c r="A2" s="122"/>
      <c r="B2" s="94"/>
      <c r="C2" s="94"/>
      <c r="D2" s="94"/>
      <c r="E2" s="45"/>
      <c r="F2" s="45"/>
      <c r="G2" s="45"/>
      <c r="H2" s="45"/>
      <c r="I2" s="45"/>
      <c r="J2" s="45"/>
      <c r="K2" s="45"/>
      <c r="L2" s="45"/>
    </row>
    <row r="3" spans="1:12" s="42" customFormat="1" ht="18.75" customHeight="1" x14ac:dyDescent="0.3">
      <c r="A3" s="33" t="s">
        <v>86</v>
      </c>
      <c r="B3" s="37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s="119" customFormat="1" ht="18.75" customHeight="1" x14ac:dyDescent="0.3">
      <c r="A4" s="127"/>
      <c r="B4" s="97"/>
      <c r="C4" s="110"/>
      <c r="D4" s="110"/>
      <c r="E4" s="110"/>
      <c r="F4" s="528"/>
      <c r="G4" s="528"/>
      <c r="H4" s="528"/>
      <c r="I4" s="528"/>
      <c r="J4" s="528"/>
      <c r="K4" s="528"/>
      <c r="L4" s="528"/>
    </row>
    <row r="5" spans="1:12" s="42" customFormat="1" ht="17.100000000000001" customHeight="1" x14ac:dyDescent="0.3">
      <c r="A5" s="35" t="s">
        <v>551</v>
      </c>
      <c r="B5" s="38">
        <v>500</v>
      </c>
      <c r="C5" s="49">
        <v>500</v>
      </c>
      <c r="D5" s="49">
        <v>500</v>
      </c>
      <c r="E5" s="49">
        <v>500</v>
      </c>
      <c r="F5" s="529">
        <v>300</v>
      </c>
      <c r="G5" s="529">
        <v>300</v>
      </c>
      <c r="H5" s="529">
        <f>4*300</f>
        <v>1200</v>
      </c>
      <c r="I5" s="529">
        <f>4*300</f>
        <v>1200</v>
      </c>
      <c r="J5" s="529">
        <f>4*300</f>
        <v>1200</v>
      </c>
      <c r="K5" s="529">
        <f>4*300</f>
        <v>1200</v>
      </c>
      <c r="L5" s="529">
        <f>4*300</f>
        <v>1200</v>
      </c>
    </row>
    <row r="6" spans="1:12" s="42" customFormat="1" ht="17.100000000000001" hidden="1" customHeight="1" x14ac:dyDescent="0.3">
      <c r="A6" s="35" t="s">
        <v>106</v>
      </c>
      <c r="B6" s="38">
        <v>500</v>
      </c>
      <c r="C6" s="49">
        <v>500</v>
      </c>
      <c r="D6" s="49">
        <v>500</v>
      </c>
      <c r="E6" s="49">
        <v>500</v>
      </c>
      <c r="F6" s="529">
        <v>300</v>
      </c>
      <c r="G6" s="529">
        <v>300</v>
      </c>
      <c r="H6" s="529"/>
      <c r="I6" s="529"/>
      <c r="J6" s="529"/>
      <c r="K6" s="529"/>
      <c r="L6" s="529"/>
    </row>
    <row r="7" spans="1:12" ht="17.100000000000001" hidden="1" customHeight="1" x14ac:dyDescent="0.3">
      <c r="A7" s="35" t="s">
        <v>106</v>
      </c>
      <c r="B7" s="38">
        <v>500</v>
      </c>
      <c r="C7" s="49">
        <v>500</v>
      </c>
      <c r="D7" s="49">
        <v>500</v>
      </c>
      <c r="E7" s="49">
        <v>500</v>
      </c>
      <c r="F7" s="529">
        <v>300</v>
      </c>
      <c r="G7" s="529">
        <v>300</v>
      </c>
      <c r="H7" s="529"/>
      <c r="I7" s="529"/>
      <c r="J7" s="529"/>
      <c r="K7" s="529"/>
      <c r="L7" s="529"/>
    </row>
    <row r="8" spans="1:12" ht="17.100000000000001" hidden="1" customHeight="1" x14ac:dyDescent="0.3">
      <c r="A8" s="35" t="s">
        <v>106</v>
      </c>
      <c r="B8" s="38">
        <v>500</v>
      </c>
      <c r="C8" s="49">
        <v>500</v>
      </c>
      <c r="D8" s="49">
        <v>500</v>
      </c>
      <c r="E8" s="49">
        <v>500</v>
      </c>
      <c r="F8" s="529">
        <v>300</v>
      </c>
      <c r="G8" s="529">
        <v>300</v>
      </c>
      <c r="H8" s="529"/>
      <c r="I8" s="529"/>
      <c r="J8" s="529"/>
      <c r="K8" s="529"/>
      <c r="L8" s="529"/>
    </row>
    <row r="9" spans="1:12" ht="17.100000000000001" customHeight="1" x14ac:dyDescent="0.3">
      <c r="A9" s="35" t="s">
        <v>107</v>
      </c>
      <c r="B9" s="38">
        <v>1500</v>
      </c>
      <c r="C9" s="49">
        <v>1500</v>
      </c>
      <c r="D9" s="49">
        <v>2000</v>
      </c>
      <c r="E9" s="49"/>
      <c r="F9" s="529">
        <v>500</v>
      </c>
      <c r="G9" s="529">
        <v>500</v>
      </c>
      <c r="H9" s="529">
        <v>500</v>
      </c>
      <c r="I9" s="529">
        <v>300</v>
      </c>
      <c r="J9" s="529">
        <v>300</v>
      </c>
      <c r="K9" s="529">
        <v>500</v>
      </c>
      <c r="L9" s="529">
        <v>500</v>
      </c>
    </row>
    <row r="10" spans="1:12" ht="17.100000000000001" customHeight="1" x14ac:dyDescent="0.3">
      <c r="A10" s="35" t="s">
        <v>108</v>
      </c>
      <c r="B10" s="38">
        <v>1900</v>
      </c>
      <c r="C10" s="49">
        <v>4000</v>
      </c>
      <c r="D10" s="49">
        <v>5000</v>
      </c>
      <c r="E10" s="49">
        <v>5000</v>
      </c>
      <c r="F10" s="529">
        <v>5000</v>
      </c>
      <c r="G10" s="529">
        <v>5000</v>
      </c>
      <c r="H10" s="529">
        <v>5000</v>
      </c>
      <c r="I10" s="529">
        <v>5000</v>
      </c>
      <c r="J10" s="529">
        <v>5000</v>
      </c>
      <c r="K10" s="529">
        <v>5000</v>
      </c>
      <c r="L10" s="529">
        <f>2500*2</f>
        <v>5000</v>
      </c>
    </row>
    <row r="11" spans="1:12" ht="17.100000000000001" customHeight="1" x14ac:dyDescent="0.3">
      <c r="A11" s="35" t="s">
        <v>552</v>
      </c>
      <c r="B11" s="58">
        <v>1080</v>
      </c>
      <c r="C11" s="49">
        <v>1500</v>
      </c>
      <c r="D11" s="49">
        <v>1500</v>
      </c>
      <c r="E11" s="49">
        <v>1500</v>
      </c>
      <c r="F11" s="529">
        <f>30*35</f>
        <v>1050</v>
      </c>
      <c r="G11" s="529">
        <f>30*35</f>
        <v>1050</v>
      </c>
      <c r="H11" s="529">
        <f>30*35</f>
        <v>1050</v>
      </c>
      <c r="I11" s="529">
        <f>32*44</f>
        <v>1408</v>
      </c>
      <c r="J11" s="529">
        <f>32*44</f>
        <v>1408</v>
      </c>
      <c r="K11" s="529">
        <f>32*44</f>
        <v>1408</v>
      </c>
      <c r="L11" s="529">
        <f>32*44</f>
        <v>1408</v>
      </c>
    </row>
    <row r="12" spans="1:12" ht="17.100000000000001" customHeight="1" x14ac:dyDescent="0.3">
      <c r="A12" s="34" t="s">
        <v>553</v>
      </c>
      <c r="B12" s="58"/>
      <c r="C12" s="57">
        <v>1300</v>
      </c>
      <c r="D12" s="57">
        <v>1000</v>
      </c>
      <c r="E12" s="57">
        <v>1000</v>
      </c>
      <c r="F12" s="530">
        <f>35*29</f>
        <v>1015</v>
      </c>
      <c r="G12" s="530">
        <f>43*29</f>
        <v>1247</v>
      </c>
      <c r="H12" s="530">
        <f>43*29</f>
        <v>1247</v>
      </c>
      <c r="I12" s="530">
        <f>35*30</f>
        <v>1050</v>
      </c>
      <c r="J12" s="530">
        <f>35*30</f>
        <v>1050</v>
      </c>
      <c r="K12" s="530">
        <f>35*30</f>
        <v>1050</v>
      </c>
      <c r="L12" s="530">
        <f>35*30</f>
        <v>1050</v>
      </c>
    </row>
    <row r="13" spans="1:12" ht="17.100000000000001" customHeight="1" x14ac:dyDescent="0.3">
      <c r="A13" s="35" t="s">
        <v>554</v>
      </c>
      <c r="B13" s="58">
        <v>1000</v>
      </c>
      <c r="C13" s="49">
        <v>750</v>
      </c>
      <c r="D13" s="49">
        <v>1000</v>
      </c>
      <c r="E13" s="49"/>
      <c r="F13" s="529">
        <f>4*255</f>
        <v>1020</v>
      </c>
      <c r="G13" s="529">
        <f>4*255</f>
        <v>1020</v>
      </c>
      <c r="H13" s="529">
        <f>4*255</f>
        <v>1020</v>
      </c>
      <c r="I13" s="529">
        <f>4*275</f>
        <v>1100</v>
      </c>
      <c r="J13" s="529">
        <f>4*275</f>
        <v>1100</v>
      </c>
      <c r="K13" s="529">
        <f>4*275</f>
        <v>1100</v>
      </c>
      <c r="L13" s="529">
        <f>4*275</f>
        <v>1100</v>
      </c>
    </row>
    <row r="14" spans="1:12" ht="17.100000000000001" customHeight="1" x14ac:dyDescent="0.3">
      <c r="A14" s="35" t="s">
        <v>73</v>
      </c>
      <c r="B14" s="58">
        <v>100</v>
      </c>
      <c r="C14" s="49">
        <v>100</v>
      </c>
      <c r="D14" s="49">
        <v>100</v>
      </c>
      <c r="E14" s="49">
        <v>100</v>
      </c>
      <c r="F14" s="529">
        <v>100</v>
      </c>
      <c r="G14" s="529">
        <v>100</v>
      </c>
      <c r="H14" s="529">
        <v>100</v>
      </c>
      <c r="I14" s="529">
        <v>100</v>
      </c>
      <c r="J14" s="529">
        <v>100</v>
      </c>
      <c r="K14" s="529">
        <v>100</v>
      </c>
      <c r="L14" s="529">
        <v>100</v>
      </c>
    </row>
    <row r="15" spans="1:12" ht="17.100000000000001" hidden="1" customHeight="1" x14ac:dyDescent="0.3">
      <c r="A15" s="34" t="s">
        <v>343</v>
      </c>
      <c r="B15" s="58">
        <v>300</v>
      </c>
      <c r="C15" s="57">
        <v>750</v>
      </c>
      <c r="D15" s="57"/>
      <c r="E15" s="57"/>
      <c r="F15" s="530">
        <v>0</v>
      </c>
      <c r="G15" s="530">
        <v>0</v>
      </c>
      <c r="H15" s="530"/>
      <c r="I15" s="530"/>
      <c r="J15" s="530"/>
      <c r="K15" s="530"/>
      <c r="L15" s="530"/>
    </row>
    <row r="16" spans="1:12" ht="17.100000000000001" customHeight="1" x14ac:dyDescent="0.3">
      <c r="A16" s="34" t="s">
        <v>555</v>
      </c>
      <c r="B16" s="58">
        <v>2312</v>
      </c>
      <c r="C16" s="57"/>
      <c r="D16" s="57">
        <v>1000</v>
      </c>
      <c r="E16" s="57">
        <v>1000</v>
      </c>
      <c r="F16" s="530">
        <v>0</v>
      </c>
      <c r="G16" s="530">
        <v>0</v>
      </c>
      <c r="H16" s="530">
        <f>25*35</f>
        <v>875</v>
      </c>
      <c r="I16" s="530">
        <f>25*35</f>
        <v>875</v>
      </c>
      <c r="J16" s="530">
        <f>25*35</f>
        <v>875</v>
      </c>
      <c r="K16" s="530">
        <f>25*35</f>
        <v>875</v>
      </c>
      <c r="L16" s="530">
        <f>25*35</f>
        <v>875</v>
      </c>
    </row>
    <row r="17" spans="1:12" ht="17.100000000000001" hidden="1" customHeight="1" x14ac:dyDescent="0.3">
      <c r="A17" s="34" t="s">
        <v>344</v>
      </c>
      <c r="B17" s="58"/>
      <c r="C17" s="57"/>
      <c r="D17" s="57">
        <v>6800</v>
      </c>
      <c r="E17" s="57"/>
      <c r="F17" s="530">
        <v>2500</v>
      </c>
      <c r="G17" s="530">
        <v>0</v>
      </c>
      <c r="H17" s="530"/>
      <c r="I17" s="530"/>
      <c r="J17" s="530"/>
      <c r="K17" s="530"/>
      <c r="L17" s="530"/>
    </row>
    <row r="18" spans="1:12" ht="17.100000000000001" hidden="1" customHeight="1" x14ac:dyDescent="0.3">
      <c r="A18" s="34" t="s">
        <v>566</v>
      </c>
      <c r="B18" s="103"/>
      <c r="C18" s="102"/>
      <c r="D18" s="102">
        <v>18000</v>
      </c>
      <c r="E18" s="102"/>
      <c r="F18" s="531">
        <f>25*1055</f>
        <v>26375</v>
      </c>
      <c r="G18" s="531">
        <v>1000</v>
      </c>
      <c r="H18" s="531">
        <f>12*1000</f>
        <v>12000</v>
      </c>
      <c r="I18" s="531">
        <f>25*1000</f>
        <v>25000</v>
      </c>
      <c r="J18" s="531">
        <v>0</v>
      </c>
      <c r="K18" s="531">
        <v>0</v>
      </c>
      <c r="L18" s="531">
        <v>0</v>
      </c>
    </row>
    <row r="19" spans="1:12" ht="17.100000000000001" hidden="1" customHeight="1" x14ac:dyDescent="0.3">
      <c r="A19" s="128" t="s">
        <v>383</v>
      </c>
      <c r="B19" s="103"/>
      <c r="C19" s="102"/>
      <c r="D19" s="102"/>
      <c r="E19" s="102">
        <v>62650.8</v>
      </c>
      <c r="F19" s="531">
        <f>10*5245</f>
        <v>52450</v>
      </c>
      <c r="G19" s="532">
        <f>10*5606</f>
        <v>56060</v>
      </c>
      <c r="H19" s="532"/>
      <c r="I19" s="532"/>
      <c r="J19" s="532"/>
      <c r="K19" s="532"/>
      <c r="L19" s="532"/>
    </row>
    <row r="20" spans="1:12" ht="17.100000000000001" hidden="1" customHeight="1" x14ac:dyDescent="0.3">
      <c r="A20" s="128" t="s">
        <v>384</v>
      </c>
      <c r="B20" s="103"/>
      <c r="C20" s="102"/>
      <c r="D20" s="102"/>
      <c r="E20" s="102">
        <v>20979</v>
      </c>
      <c r="F20" s="531">
        <v>10500</v>
      </c>
      <c r="G20" s="531">
        <v>0</v>
      </c>
      <c r="H20" s="531"/>
      <c r="I20" s="531"/>
      <c r="J20" s="531"/>
      <c r="K20" s="531"/>
      <c r="L20" s="531"/>
    </row>
    <row r="21" spans="1:12" ht="17.100000000000001" hidden="1" customHeight="1" x14ac:dyDescent="0.3">
      <c r="A21" s="128" t="s">
        <v>483</v>
      </c>
      <c r="B21" s="103"/>
      <c r="C21" s="102"/>
      <c r="D21" s="102"/>
      <c r="E21" s="102"/>
      <c r="F21" s="531">
        <v>0</v>
      </c>
      <c r="G21" s="532">
        <v>3000</v>
      </c>
      <c r="H21" s="532">
        <f>1500*2</f>
        <v>3000</v>
      </c>
      <c r="I21" s="532">
        <v>0</v>
      </c>
      <c r="J21" s="532">
        <v>0</v>
      </c>
      <c r="K21" s="532">
        <v>0</v>
      </c>
      <c r="L21" s="532">
        <v>0</v>
      </c>
    </row>
    <row r="22" spans="1:12" ht="17.100000000000001" customHeight="1" x14ac:dyDescent="0.3">
      <c r="A22" s="128" t="s">
        <v>508</v>
      </c>
      <c r="B22" s="103"/>
      <c r="C22" s="102"/>
      <c r="D22" s="102"/>
      <c r="E22" s="102"/>
      <c r="F22" s="531">
        <v>0</v>
      </c>
      <c r="G22" s="532">
        <v>0</v>
      </c>
      <c r="H22" s="532">
        <f>7000+2000</f>
        <v>9000</v>
      </c>
      <c r="I22" s="532">
        <v>0</v>
      </c>
      <c r="J22" s="532">
        <v>11000</v>
      </c>
      <c r="K22" s="532">
        <v>0</v>
      </c>
      <c r="L22" s="532">
        <v>0</v>
      </c>
    </row>
    <row r="23" spans="1:12" ht="17.100000000000001" customHeight="1" x14ac:dyDescent="0.3">
      <c r="A23" s="128" t="s">
        <v>608</v>
      </c>
      <c r="B23" s="103"/>
      <c r="C23" s="102"/>
      <c r="D23" s="102"/>
      <c r="E23" s="102"/>
      <c r="F23" s="531"/>
      <c r="G23" s="532"/>
      <c r="H23" s="532"/>
      <c r="I23" s="532">
        <v>0</v>
      </c>
      <c r="J23" s="532">
        <f>140*6</f>
        <v>840</v>
      </c>
      <c r="K23" s="532">
        <v>0</v>
      </c>
      <c r="L23" s="532">
        <v>0</v>
      </c>
    </row>
    <row r="24" spans="1:12" ht="17.100000000000001" customHeight="1" thickBot="1" x14ac:dyDescent="0.35">
      <c r="A24" s="392"/>
      <c r="B24" s="58">
        <v>-200</v>
      </c>
      <c r="C24" s="57"/>
      <c r="D24" s="57"/>
      <c r="E24" s="57"/>
      <c r="F24" s="530"/>
      <c r="G24" s="533"/>
      <c r="H24" s="533"/>
      <c r="I24" s="533"/>
      <c r="J24" s="533"/>
      <c r="K24" s="533"/>
      <c r="L24" s="533"/>
    </row>
    <row r="25" spans="1:12" ht="18.75" customHeight="1" thickTop="1" x14ac:dyDescent="0.3">
      <c r="A25" s="84" t="s">
        <v>84</v>
      </c>
      <c r="B25" s="40">
        <f>SUM(B4:B21)</f>
        <v>10192</v>
      </c>
      <c r="C25" s="129">
        <f>SUM(C4:C21)</f>
        <v>11900</v>
      </c>
      <c r="D25" s="129">
        <f>SUM(D4:D21)</f>
        <v>38400</v>
      </c>
      <c r="E25" s="129">
        <f t="shared" ref="E25:J25" si="0">SUM(E5:E24)</f>
        <v>94229.8</v>
      </c>
      <c r="F25" s="526">
        <f t="shared" si="0"/>
        <v>101710</v>
      </c>
      <c r="G25" s="527">
        <f t="shared" si="0"/>
        <v>70177</v>
      </c>
      <c r="H25" s="527">
        <f t="shared" si="0"/>
        <v>34992</v>
      </c>
      <c r="I25" s="527">
        <f t="shared" si="0"/>
        <v>36033</v>
      </c>
      <c r="J25" s="527">
        <f t="shared" si="0"/>
        <v>22873</v>
      </c>
      <c r="K25" s="527">
        <f>SUM(K5:K24)</f>
        <v>11233</v>
      </c>
      <c r="L25" s="527">
        <f>SUM(L5:L24)</f>
        <v>11233</v>
      </c>
    </row>
    <row r="26" spans="1:12" ht="18.75" customHeight="1" x14ac:dyDescent="0.3">
      <c r="A26" s="16"/>
    </row>
    <row r="27" spans="1:12" ht="18.75" customHeight="1" x14ac:dyDescent="0.3">
      <c r="A27" s="16"/>
    </row>
    <row r="28" spans="1:12" ht="18.75" customHeight="1" x14ac:dyDescent="0.3">
      <c r="A28" s="16"/>
    </row>
    <row r="29" spans="1:12" ht="18.75" customHeight="1" x14ac:dyDescent="0.3">
      <c r="A29" s="16"/>
    </row>
    <row r="30" spans="1:12" ht="18.75" customHeight="1" x14ac:dyDescent="0.3">
      <c r="A30" s="16"/>
    </row>
    <row r="31" spans="1:12" ht="18.75" customHeight="1" x14ac:dyDescent="0.3">
      <c r="A31" s="16"/>
    </row>
    <row r="32" spans="1:12" ht="18.75" customHeight="1" x14ac:dyDescent="0.3">
      <c r="A32" s="16"/>
    </row>
    <row r="33" spans="1:1" ht="18.75" customHeight="1" x14ac:dyDescent="0.3">
      <c r="A33" s="16"/>
    </row>
  </sheetData>
  <phoneticPr fontId="18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/>
  </sheetViews>
  <sheetFormatPr defaultColWidth="9.140625" defaultRowHeight="16.5" x14ac:dyDescent="0.3"/>
  <cols>
    <col min="1" max="1" width="37.42578125" style="107" customWidth="1"/>
    <col min="2" max="4" width="11.7109375" style="107" hidden="1" customWidth="1"/>
    <col min="5" max="8" width="12.5703125" style="107" hidden="1" customWidth="1"/>
    <col min="9" max="9" width="0" style="107" hidden="1" customWidth="1"/>
    <col min="10" max="12" width="9.5703125" style="107" bestFit="1" customWidth="1"/>
    <col min="13" max="16384" width="9.140625" style="107"/>
  </cols>
  <sheetData>
    <row r="1" spans="1:12" x14ac:dyDescent="0.3">
      <c r="A1" s="407" t="s">
        <v>390</v>
      </c>
      <c r="B1" s="162"/>
      <c r="C1" s="162"/>
      <c r="D1" s="162"/>
      <c r="E1" s="165"/>
      <c r="F1" s="165"/>
      <c r="G1" s="165"/>
      <c r="H1" s="165"/>
      <c r="I1" s="165"/>
      <c r="J1" s="165"/>
      <c r="K1" s="165"/>
      <c r="L1" s="165"/>
    </row>
    <row r="2" spans="1:12" x14ac:dyDescent="0.3">
      <c r="A2" s="122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x14ac:dyDescent="0.3">
      <c r="A3" s="33" t="s">
        <v>86</v>
      </c>
      <c r="B3" s="95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x14ac:dyDescent="0.3">
      <c r="A4" s="50"/>
      <c r="B4" s="45"/>
      <c r="C4" s="50"/>
      <c r="D4" s="50"/>
      <c r="E4" s="50"/>
      <c r="F4" s="466"/>
      <c r="G4" s="466"/>
      <c r="H4" s="466"/>
      <c r="I4" s="466"/>
      <c r="J4" s="466"/>
      <c r="K4" s="466"/>
      <c r="L4" s="466"/>
    </row>
    <row r="5" spans="1:12" x14ac:dyDescent="0.3">
      <c r="A5" s="35" t="s">
        <v>75</v>
      </c>
      <c r="B5" s="45">
        <v>1800</v>
      </c>
      <c r="C5" s="32">
        <v>2100</v>
      </c>
      <c r="D5" s="32">
        <v>2100</v>
      </c>
      <c r="E5" s="32">
        <v>2100</v>
      </c>
      <c r="F5" s="534">
        <v>2200</v>
      </c>
      <c r="G5" s="534">
        <v>2400</v>
      </c>
      <c r="H5" s="534">
        <v>2400</v>
      </c>
      <c r="I5" s="534">
        <v>2400</v>
      </c>
      <c r="J5" s="534">
        <v>2400</v>
      </c>
      <c r="K5" s="534">
        <v>2400</v>
      </c>
      <c r="L5" s="534">
        <v>2400</v>
      </c>
    </row>
    <row r="6" spans="1:12" x14ac:dyDescent="0.3">
      <c r="A6" s="35" t="s">
        <v>231</v>
      </c>
      <c r="B6" s="45">
        <v>16000</v>
      </c>
      <c r="C6" s="45">
        <v>17000</v>
      </c>
      <c r="D6" s="45">
        <v>30000</v>
      </c>
      <c r="E6" s="45">
        <v>30000</v>
      </c>
      <c r="F6" s="529">
        <v>30000</v>
      </c>
      <c r="G6" s="529">
        <v>31000</v>
      </c>
      <c r="H6" s="529">
        <v>31000</v>
      </c>
      <c r="I6" s="529">
        <v>30000</v>
      </c>
      <c r="J6" s="529">
        <v>30000</v>
      </c>
      <c r="K6" s="529">
        <v>30000</v>
      </c>
      <c r="L6" s="529">
        <v>20000</v>
      </c>
    </row>
    <row r="7" spans="1:12" x14ac:dyDescent="0.3">
      <c r="A7" s="35" t="s">
        <v>74</v>
      </c>
      <c r="B7" s="45">
        <v>1000</v>
      </c>
      <c r="C7" s="32">
        <v>1200</v>
      </c>
      <c r="D7" s="32">
        <v>1350</v>
      </c>
      <c r="E7" s="32">
        <v>1350</v>
      </c>
      <c r="F7" s="534">
        <v>1500</v>
      </c>
      <c r="G7" s="534">
        <v>1600</v>
      </c>
      <c r="H7" s="534">
        <v>1600</v>
      </c>
      <c r="I7" s="534">
        <v>1800</v>
      </c>
      <c r="J7" s="534">
        <v>1800</v>
      </c>
      <c r="K7" s="534">
        <v>1800</v>
      </c>
      <c r="L7" s="534">
        <v>1800</v>
      </c>
    </row>
    <row r="8" spans="1:12" x14ac:dyDescent="0.3">
      <c r="A8" s="35" t="s">
        <v>145</v>
      </c>
      <c r="B8" s="45">
        <v>1000</v>
      </c>
      <c r="C8" s="45">
        <v>500</v>
      </c>
      <c r="D8" s="45">
        <v>600</v>
      </c>
      <c r="E8" s="45">
        <v>800</v>
      </c>
      <c r="F8" s="529">
        <v>800</v>
      </c>
      <c r="G8" s="529">
        <v>1200</v>
      </c>
      <c r="H8" s="529">
        <v>1200</v>
      </c>
      <c r="I8" s="529">
        <v>1200</v>
      </c>
      <c r="J8" s="529">
        <v>1200</v>
      </c>
      <c r="K8" s="529">
        <v>1200</v>
      </c>
      <c r="L8" s="529">
        <v>1200</v>
      </c>
    </row>
    <row r="9" spans="1:12" x14ac:dyDescent="0.3">
      <c r="A9" s="35" t="s">
        <v>230</v>
      </c>
      <c r="B9" s="45">
        <v>19000</v>
      </c>
      <c r="C9" s="45">
        <v>20000</v>
      </c>
      <c r="D9" s="45">
        <v>25000</v>
      </c>
      <c r="E9" s="45">
        <v>25000</v>
      </c>
      <c r="F9" s="529">
        <v>25000</v>
      </c>
      <c r="G9" s="529">
        <v>27500</v>
      </c>
      <c r="H9" s="529">
        <v>27500</v>
      </c>
      <c r="I9" s="529">
        <v>28000</v>
      </c>
      <c r="J9" s="529">
        <v>28000</v>
      </c>
      <c r="K9" s="529">
        <v>28000</v>
      </c>
      <c r="L9" s="529">
        <v>28000</v>
      </c>
    </row>
    <row r="10" spans="1:12" x14ac:dyDescent="0.3">
      <c r="A10" s="35" t="s">
        <v>94</v>
      </c>
      <c r="B10" s="45">
        <v>3500</v>
      </c>
      <c r="C10" s="45">
        <v>2000</v>
      </c>
      <c r="D10" s="45">
        <v>3000</v>
      </c>
      <c r="E10" s="45">
        <v>3000</v>
      </c>
      <c r="F10" s="529">
        <v>3500</v>
      </c>
      <c r="G10" s="529">
        <v>3500</v>
      </c>
      <c r="H10" s="529">
        <v>3500</v>
      </c>
      <c r="I10" s="529">
        <v>3500</v>
      </c>
      <c r="J10" s="529">
        <v>3500</v>
      </c>
      <c r="K10" s="529">
        <v>3500</v>
      </c>
      <c r="L10" s="529">
        <v>3500</v>
      </c>
    </row>
    <row r="11" spans="1:12" x14ac:dyDescent="0.3">
      <c r="A11" s="35" t="s">
        <v>57</v>
      </c>
      <c r="B11" s="32">
        <v>1000</v>
      </c>
      <c r="C11" s="32">
        <v>1200</v>
      </c>
      <c r="D11" s="32">
        <v>1700</v>
      </c>
      <c r="E11" s="32">
        <v>1700</v>
      </c>
      <c r="F11" s="534">
        <v>2500</v>
      </c>
      <c r="G11" s="534">
        <v>2500</v>
      </c>
      <c r="H11" s="534">
        <v>4000</v>
      </c>
      <c r="I11" s="534">
        <v>5000</v>
      </c>
      <c r="J11" s="534">
        <v>5000</v>
      </c>
      <c r="K11" s="534">
        <v>5500</v>
      </c>
      <c r="L11" s="534">
        <v>5500</v>
      </c>
    </row>
    <row r="12" spans="1:12" x14ac:dyDescent="0.3">
      <c r="A12" s="35" t="s">
        <v>385</v>
      </c>
      <c r="B12" s="32">
        <v>2500</v>
      </c>
      <c r="C12" s="45">
        <v>2000</v>
      </c>
      <c r="D12" s="45">
        <v>2000</v>
      </c>
      <c r="E12" s="45">
        <v>2000</v>
      </c>
      <c r="F12" s="529">
        <v>2000</v>
      </c>
      <c r="G12" s="529">
        <v>2500</v>
      </c>
      <c r="H12" s="529">
        <v>2500</v>
      </c>
      <c r="I12" s="529">
        <v>2500</v>
      </c>
      <c r="J12" s="529">
        <v>2500</v>
      </c>
      <c r="K12" s="529">
        <v>3000</v>
      </c>
      <c r="L12" s="529">
        <v>3000</v>
      </c>
    </row>
    <row r="13" spans="1:12" x14ac:dyDescent="0.3">
      <c r="A13" s="35" t="s">
        <v>144</v>
      </c>
      <c r="B13" s="45">
        <v>9000</v>
      </c>
      <c r="C13" s="45">
        <v>12000</v>
      </c>
      <c r="D13" s="45">
        <v>15000</v>
      </c>
      <c r="E13" s="45">
        <v>16000</v>
      </c>
      <c r="F13" s="529">
        <v>12000</v>
      </c>
      <c r="G13" s="529">
        <v>13000</v>
      </c>
      <c r="H13" s="529">
        <v>13000</v>
      </c>
      <c r="I13" s="529">
        <v>14000</v>
      </c>
      <c r="J13" s="529">
        <f>14000+(14*500)</f>
        <v>21000</v>
      </c>
      <c r="K13" s="529">
        <v>22000</v>
      </c>
      <c r="L13" s="529">
        <v>22000</v>
      </c>
    </row>
    <row r="14" spans="1:12" x14ac:dyDescent="0.3">
      <c r="A14" s="35" t="s">
        <v>143</v>
      </c>
      <c r="B14" s="32">
        <v>3000</v>
      </c>
      <c r="C14" s="45">
        <v>2500</v>
      </c>
      <c r="D14" s="45">
        <v>3000</v>
      </c>
      <c r="E14" s="45">
        <v>3000</v>
      </c>
      <c r="F14" s="529">
        <v>3000</v>
      </c>
      <c r="G14" s="529">
        <v>3000</v>
      </c>
      <c r="H14" s="529">
        <v>3000</v>
      </c>
      <c r="I14" s="529">
        <v>3000</v>
      </c>
      <c r="J14" s="529">
        <v>3000</v>
      </c>
      <c r="K14" s="529">
        <v>3000</v>
      </c>
      <c r="L14" s="529">
        <v>3000</v>
      </c>
    </row>
    <row r="15" spans="1:12" x14ac:dyDescent="0.3">
      <c r="A15" s="35" t="s">
        <v>442</v>
      </c>
      <c r="B15" s="32">
        <v>350</v>
      </c>
      <c r="C15" s="45">
        <v>250</v>
      </c>
      <c r="D15" s="45">
        <v>300</v>
      </c>
      <c r="E15" s="45">
        <v>300</v>
      </c>
      <c r="F15" s="529">
        <v>400</v>
      </c>
      <c r="G15" s="529">
        <v>400</v>
      </c>
      <c r="H15" s="529">
        <v>400</v>
      </c>
      <c r="I15" s="529">
        <v>400</v>
      </c>
      <c r="J15" s="529">
        <v>400</v>
      </c>
      <c r="K15" s="529">
        <v>400</v>
      </c>
      <c r="L15" s="529">
        <v>400</v>
      </c>
    </row>
    <row r="16" spans="1:12" hidden="1" x14ac:dyDescent="0.3">
      <c r="A16" s="360" t="s">
        <v>443</v>
      </c>
      <c r="B16" s="103"/>
      <c r="C16" s="348"/>
      <c r="D16" s="348"/>
      <c r="E16" s="348">
        <v>3000</v>
      </c>
      <c r="F16" s="535">
        <v>4800</v>
      </c>
      <c r="G16" s="535">
        <v>0</v>
      </c>
      <c r="H16" s="535">
        <v>0</v>
      </c>
      <c r="I16" s="535">
        <v>0</v>
      </c>
      <c r="J16" s="535">
        <v>0</v>
      </c>
      <c r="K16" s="535">
        <v>0</v>
      </c>
      <c r="L16" s="535">
        <v>0</v>
      </c>
    </row>
    <row r="17" spans="1:12" hidden="1" x14ac:dyDescent="0.3">
      <c r="A17" s="360" t="s">
        <v>386</v>
      </c>
      <c r="B17" s="103"/>
      <c r="C17" s="348"/>
      <c r="D17" s="348"/>
      <c r="E17" s="348">
        <v>2500</v>
      </c>
      <c r="F17" s="535">
        <v>0</v>
      </c>
      <c r="G17" s="535">
        <v>0</v>
      </c>
      <c r="H17" s="535">
        <v>0</v>
      </c>
      <c r="I17" s="535">
        <v>0</v>
      </c>
      <c r="J17" s="535">
        <v>0</v>
      </c>
      <c r="K17" s="535">
        <v>0</v>
      </c>
      <c r="L17" s="535">
        <v>0</v>
      </c>
    </row>
    <row r="18" spans="1:12" hidden="1" x14ac:dyDescent="0.3">
      <c r="A18" s="59" t="s">
        <v>387</v>
      </c>
      <c r="B18" s="103"/>
      <c r="C18" s="348"/>
      <c r="D18" s="348"/>
      <c r="E18" s="348">
        <v>2000</v>
      </c>
      <c r="F18" s="535">
        <v>0</v>
      </c>
      <c r="G18" s="535">
        <v>0</v>
      </c>
      <c r="H18" s="535">
        <v>0</v>
      </c>
      <c r="I18" s="535">
        <v>0</v>
      </c>
      <c r="J18" s="535">
        <v>0</v>
      </c>
      <c r="K18" s="535">
        <v>0</v>
      </c>
      <c r="L18" s="535">
        <v>0</v>
      </c>
    </row>
    <row r="19" spans="1:12" x14ac:dyDescent="0.3">
      <c r="A19" s="59" t="s">
        <v>438</v>
      </c>
      <c r="B19" s="103"/>
      <c r="C19" s="348">
        <v>3000</v>
      </c>
      <c r="D19" s="348">
        <v>3000</v>
      </c>
      <c r="E19" s="348">
        <v>3830</v>
      </c>
      <c r="F19" s="535">
        <v>4400</v>
      </c>
      <c r="G19" s="535">
        <v>4800</v>
      </c>
      <c r="H19" s="535">
        <v>5000</v>
      </c>
      <c r="I19" s="535">
        <v>5000</v>
      </c>
      <c r="J19" s="535">
        <v>5000</v>
      </c>
      <c r="K19" s="535">
        <v>5000</v>
      </c>
      <c r="L19" s="535">
        <v>5000</v>
      </c>
    </row>
    <row r="20" spans="1:12" x14ac:dyDescent="0.3">
      <c r="A20" s="59" t="s">
        <v>639</v>
      </c>
      <c r="B20" s="103"/>
      <c r="C20" s="348"/>
      <c r="D20" s="348"/>
      <c r="E20" s="348"/>
      <c r="F20" s="535"/>
      <c r="G20" s="535"/>
      <c r="H20" s="535"/>
      <c r="I20" s="535">
        <v>0</v>
      </c>
      <c r="J20" s="535">
        <v>0</v>
      </c>
      <c r="K20" s="535">
        <v>2250</v>
      </c>
      <c r="L20" s="535"/>
    </row>
    <row r="21" spans="1:12" hidden="1" x14ac:dyDescent="0.3">
      <c r="A21" s="59" t="s">
        <v>485</v>
      </c>
      <c r="B21" s="103"/>
      <c r="C21" s="348"/>
      <c r="D21" s="348"/>
      <c r="E21" s="348"/>
      <c r="F21" s="535">
        <v>0</v>
      </c>
      <c r="G21" s="536">
        <v>2000</v>
      </c>
      <c r="H21" s="536">
        <v>2000</v>
      </c>
      <c r="I21" s="536">
        <v>2000</v>
      </c>
      <c r="J21" s="536">
        <v>0</v>
      </c>
      <c r="K21" s="536">
        <v>0</v>
      </c>
      <c r="L21" s="536">
        <v>0</v>
      </c>
    </row>
    <row r="22" spans="1:12" hidden="1" x14ac:dyDescent="0.3">
      <c r="A22" s="43" t="s">
        <v>486</v>
      </c>
      <c r="B22" s="46"/>
      <c r="C22" s="46"/>
      <c r="D22" s="46"/>
      <c r="E22" s="46"/>
      <c r="F22" s="524">
        <v>0</v>
      </c>
      <c r="G22" s="525">
        <v>2800</v>
      </c>
      <c r="H22" s="525"/>
      <c r="I22" s="525"/>
      <c r="J22" s="525"/>
      <c r="K22" s="525"/>
      <c r="L22" s="525"/>
    </row>
    <row r="23" spans="1:12" x14ac:dyDescent="0.3">
      <c r="A23" s="43" t="s">
        <v>682</v>
      </c>
      <c r="B23" s="46"/>
      <c r="C23" s="46"/>
      <c r="D23" s="46"/>
      <c r="E23" s="46"/>
      <c r="F23" s="524"/>
      <c r="G23" s="525"/>
      <c r="H23" s="525"/>
      <c r="I23" s="525"/>
      <c r="J23" s="525"/>
      <c r="K23" s="525"/>
      <c r="L23" s="525">
        <f>12000*3</f>
        <v>36000</v>
      </c>
    </row>
    <row r="24" spans="1:12" ht="17.25" thickBot="1" x14ac:dyDescent="0.35">
      <c r="A24" s="43"/>
      <c r="B24" s="46">
        <v>-15000</v>
      </c>
      <c r="C24" s="46"/>
      <c r="D24" s="46"/>
      <c r="E24" s="46"/>
      <c r="F24" s="524"/>
      <c r="G24" s="525"/>
      <c r="H24" s="525"/>
      <c r="I24" s="525"/>
      <c r="J24" s="525"/>
      <c r="K24" s="525"/>
      <c r="L24" s="525"/>
    </row>
    <row r="25" spans="1:12" ht="17.25" thickTop="1" x14ac:dyDescent="0.3">
      <c r="A25" s="166" t="s">
        <v>84</v>
      </c>
      <c r="B25" s="129">
        <f t="shared" ref="B25:J25" si="0">SUM(B4:B24)</f>
        <v>43150</v>
      </c>
      <c r="C25" s="129">
        <f t="shared" si="0"/>
        <v>63750</v>
      </c>
      <c r="D25" s="129">
        <f t="shared" si="0"/>
        <v>87050</v>
      </c>
      <c r="E25" s="129">
        <f t="shared" si="0"/>
        <v>96580</v>
      </c>
      <c r="F25" s="526">
        <f t="shared" si="0"/>
        <v>92100</v>
      </c>
      <c r="G25" s="527">
        <f t="shared" si="0"/>
        <v>98200</v>
      </c>
      <c r="H25" s="527">
        <f t="shared" si="0"/>
        <v>97100</v>
      </c>
      <c r="I25" s="527">
        <f t="shared" si="0"/>
        <v>98800</v>
      </c>
      <c r="J25" s="527">
        <f t="shared" si="0"/>
        <v>103800</v>
      </c>
      <c r="K25" s="527">
        <f>SUM(K4:K24)</f>
        <v>108050</v>
      </c>
      <c r="L25" s="527">
        <f>SUM(L4:L24)</f>
        <v>131800</v>
      </c>
    </row>
  </sheetData>
  <sortState ref="A7:E16">
    <sortCondition ref="A7:A16"/>
  </sortState>
  <phoneticPr fontId="18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pane ySplit="2" topLeftCell="A3" activePane="bottomLeft" state="frozen"/>
      <selection pane="bottomLeft"/>
    </sheetView>
  </sheetViews>
  <sheetFormatPr defaultColWidth="9.140625" defaultRowHeight="16.5" x14ac:dyDescent="0.3"/>
  <cols>
    <col min="1" max="1" width="44" style="107" bestFit="1" customWidth="1"/>
    <col min="2" max="4" width="11.7109375" style="107" hidden="1" customWidth="1"/>
    <col min="5" max="8" width="12.5703125" style="107" hidden="1" customWidth="1"/>
    <col min="9" max="9" width="0" style="107" hidden="1" customWidth="1"/>
    <col min="10" max="11" width="9.140625" style="107"/>
    <col min="12" max="12" width="9.5703125" style="107" bestFit="1" customWidth="1"/>
    <col min="13" max="16384" width="9.140625" style="107"/>
  </cols>
  <sheetData>
    <row r="1" spans="1:12" ht="18" customHeight="1" x14ac:dyDescent="0.3">
      <c r="A1" s="407" t="s">
        <v>167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18" customHeight="1" x14ac:dyDescent="0.3">
      <c r="A2" s="122" t="s">
        <v>86</v>
      </c>
      <c r="B2" s="95">
        <v>2010</v>
      </c>
      <c r="C2" s="95">
        <v>2013</v>
      </c>
      <c r="D2" s="95">
        <v>2014</v>
      </c>
      <c r="E2" s="95">
        <v>2015</v>
      </c>
      <c r="F2" s="95">
        <v>2016</v>
      </c>
      <c r="G2" s="95">
        <v>2017</v>
      </c>
      <c r="H2" s="95">
        <v>2018</v>
      </c>
      <c r="I2" s="95">
        <v>2019</v>
      </c>
      <c r="J2" s="95">
        <v>2020</v>
      </c>
      <c r="K2" s="95">
        <v>2021</v>
      </c>
      <c r="L2" s="95">
        <v>2022</v>
      </c>
    </row>
    <row r="3" spans="1:12" ht="18" customHeight="1" x14ac:dyDescent="0.3">
      <c r="A3" s="122"/>
      <c r="B3" s="96"/>
      <c r="C3" s="96"/>
      <c r="D3" s="96"/>
      <c r="E3" s="96"/>
      <c r="F3" s="530"/>
      <c r="G3" s="530"/>
      <c r="H3" s="530"/>
      <c r="I3" s="530"/>
      <c r="J3" s="530"/>
      <c r="K3" s="530"/>
      <c r="L3" s="530"/>
    </row>
    <row r="4" spans="1:12" ht="18" customHeight="1" x14ac:dyDescent="0.3">
      <c r="A4" s="48" t="s">
        <v>109</v>
      </c>
      <c r="B4" s="49">
        <v>400</v>
      </c>
      <c r="C4" s="49">
        <v>350</v>
      </c>
      <c r="D4" s="49">
        <v>400</v>
      </c>
      <c r="E4" s="49">
        <v>400</v>
      </c>
      <c r="F4" s="529">
        <v>400</v>
      </c>
      <c r="G4" s="529">
        <v>400</v>
      </c>
      <c r="H4" s="529">
        <v>400</v>
      </c>
      <c r="I4" s="529">
        <v>600</v>
      </c>
      <c r="J4" s="529">
        <v>600</v>
      </c>
      <c r="K4" s="529">
        <v>600</v>
      </c>
      <c r="L4" s="529">
        <v>600</v>
      </c>
    </row>
    <row r="5" spans="1:12" ht="18" customHeight="1" x14ac:dyDescent="0.3">
      <c r="A5" s="48" t="s">
        <v>152</v>
      </c>
      <c r="B5" s="49">
        <v>500</v>
      </c>
      <c r="C5" s="49">
        <v>250</v>
      </c>
      <c r="D5" s="49">
        <v>250</v>
      </c>
      <c r="E5" s="49">
        <v>250</v>
      </c>
      <c r="F5" s="529">
        <v>2000</v>
      </c>
      <c r="G5" s="529">
        <v>2000</v>
      </c>
      <c r="H5" s="529">
        <v>2000</v>
      </c>
      <c r="I5" s="529">
        <v>2000</v>
      </c>
      <c r="J5" s="529">
        <v>2000</v>
      </c>
      <c r="K5" s="529">
        <v>2000</v>
      </c>
      <c r="L5" s="529">
        <v>2000</v>
      </c>
    </row>
    <row r="6" spans="1:12" ht="18" customHeight="1" x14ac:dyDescent="0.3">
      <c r="A6" s="48" t="s">
        <v>542</v>
      </c>
      <c r="B6" s="49">
        <v>2500</v>
      </c>
      <c r="C6" s="49">
        <v>1400</v>
      </c>
      <c r="D6" s="49">
        <v>1400</v>
      </c>
      <c r="E6" s="49">
        <v>1500</v>
      </c>
      <c r="F6" s="529">
        <v>1500</v>
      </c>
      <c r="G6" s="529">
        <v>1700</v>
      </c>
      <c r="H6" s="529">
        <v>1700</v>
      </c>
      <c r="I6" s="529">
        <v>1800</v>
      </c>
      <c r="J6" s="529">
        <v>1800</v>
      </c>
      <c r="K6" s="529">
        <v>1800</v>
      </c>
      <c r="L6" s="529">
        <v>1800</v>
      </c>
    </row>
    <row r="7" spans="1:12" ht="18" hidden="1" customHeight="1" x14ac:dyDescent="0.3">
      <c r="A7" s="48" t="s">
        <v>1</v>
      </c>
      <c r="B7" s="117">
        <v>750</v>
      </c>
      <c r="C7" s="49">
        <v>850</v>
      </c>
      <c r="D7" s="49">
        <v>850</v>
      </c>
      <c r="E7" s="49">
        <v>850</v>
      </c>
      <c r="F7" s="529">
        <v>0</v>
      </c>
      <c r="G7" s="529">
        <v>0</v>
      </c>
      <c r="H7" s="529">
        <v>0</v>
      </c>
      <c r="I7" s="529">
        <v>0</v>
      </c>
      <c r="J7" s="529">
        <v>0</v>
      </c>
      <c r="K7" s="529">
        <v>0</v>
      </c>
      <c r="L7" s="529">
        <v>0</v>
      </c>
    </row>
    <row r="8" spans="1:12" ht="18" customHeight="1" x14ac:dyDescent="0.3">
      <c r="A8" s="35" t="s">
        <v>509</v>
      </c>
      <c r="B8" s="117">
        <v>600</v>
      </c>
      <c r="C8" s="57">
        <v>300</v>
      </c>
      <c r="D8" s="57">
        <v>300</v>
      </c>
      <c r="E8" s="57">
        <v>300</v>
      </c>
      <c r="F8" s="530">
        <v>400</v>
      </c>
      <c r="G8" s="530">
        <v>500</v>
      </c>
      <c r="H8" s="530">
        <v>1500</v>
      </c>
      <c r="I8" s="530">
        <v>1500</v>
      </c>
      <c r="J8" s="530">
        <v>1500</v>
      </c>
      <c r="K8" s="530">
        <v>1500</v>
      </c>
      <c r="L8" s="530">
        <v>1500</v>
      </c>
    </row>
    <row r="9" spans="1:12" ht="18" customHeight="1" x14ac:dyDescent="0.3">
      <c r="A9" s="48" t="s">
        <v>178</v>
      </c>
      <c r="B9" s="101">
        <v>6000</v>
      </c>
      <c r="C9" s="49">
        <v>7500</v>
      </c>
      <c r="D9" s="49">
        <v>7500</v>
      </c>
      <c r="E9" s="49">
        <v>7500</v>
      </c>
      <c r="F9" s="529">
        <v>11000</v>
      </c>
      <c r="G9" s="529">
        <v>12000</v>
      </c>
      <c r="H9" s="529">
        <v>12000</v>
      </c>
      <c r="I9" s="529">
        <v>14000</v>
      </c>
      <c r="J9" s="529">
        <v>14000</v>
      </c>
      <c r="K9" s="529">
        <v>14000</v>
      </c>
      <c r="L9" s="529">
        <v>12000</v>
      </c>
    </row>
    <row r="10" spans="1:12" ht="18" customHeight="1" x14ac:dyDescent="0.3">
      <c r="A10" s="345" t="s">
        <v>2</v>
      </c>
      <c r="B10" s="117">
        <v>1500</v>
      </c>
      <c r="C10" s="117">
        <v>200</v>
      </c>
      <c r="D10" s="117">
        <v>750</v>
      </c>
      <c r="E10" s="117">
        <v>750</v>
      </c>
      <c r="F10" s="534">
        <v>250</v>
      </c>
      <c r="G10" s="534">
        <v>500</v>
      </c>
      <c r="H10" s="534">
        <v>500</v>
      </c>
      <c r="I10" s="534">
        <v>500</v>
      </c>
      <c r="J10" s="534">
        <v>500</v>
      </c>
      <c r="K10" s="534">
        <v>500</v>
      </c>
      <c r="L10" s="534">
        <v>250</v>
      </c>
    </row>
    <row r="11" spans="1:12" ht="18" hidden="1" customHeight="1" x14ac:dyDescent="0.3">
      <c r="A11" s="35" t="s">
        <v>680</v>
      </c>
      <c r="B11" s="58">
        <v>1000</v>
      </c>
      <c r="C11" s="58"/>
      <c r="D11" s="58"/>
      <c r="E11" s="58">
        <f>10740</f>
        <v>10740</v>
      </c>
      <c r="F11" s="466">
        <v>0</v>
      </c>
      <c r="G11" s="466">
        <v>0</v>
      </c>
      <c r="H11" s="466">
        <v>0</v>
      </c>
      <c r="I11" s="466">
        <v>0</v>
      </c>
      <c r="J11" s="466">
        <v>0</v>
      </c>
      <c r="K11" s="466">
        <v>0</v>
      </c>
      <c r="L11" s="466">
        <v>0</v>
      </c>
    </row>
    <row r="12" spans="1:12" ht="18" hidden="1" customHeight="1" x14ac:dyDescent="0.3">
      <c r="A12" s="155" t="s">
        <v>388</v>
      </c>
      <c r="B12" s="49">
        <v>100</v>
      </c>
      <c r="C12" s="101">
        <v>100</v>
      </c>
      <c r="D12" s="101">
        <v>100</v>
      </c>
      <c r="E12" s="101">
        <v>100</v>
      </c>
      <c r="F12" s="522">
        <v>100</v>
      </c>
      <c r="G12" s="522">
        <v>0</v>
      </c>
      <c r="H12" s="522">
        <v>0</v>
      </c>
      <c r="I12" s="522">
        <v>0</v>
      </c>
      <c r="J12" s="522">
        <v>0</v>
      </c>
      <c r="K12" s="522">
        <v>0</v>
      </c>
      <c r="L12" s="522">
        <v>0</v>
      </c>
    </row>
    <row r="13" spans="1:12" ht="18" customHeight="1" x14ac:dyDescent="0.3">
      <c r="A13" s="155" t="s">
        <v>148</v>
      </c>
      <c r="B13" s="49">
        <v>250</v>
      </c>
      <c r="C13" s="49"/>
      <c r="D13" s="49">
        <v>300</v>
      </c>
      <c r="E13" s="49">
        <v>300</v>
      </c>
      <c r="F13" s="529">
        <v>300</v>
      </c>
      <c r="G13" s="529">
        <v>300</v>
      </c>
      <c r="H13" s="529">
        <v>300</v>
      </c>
      <c r="I13" s="529">
        <v>0</v>
      </c>
      <c r="J13" s="529">
        <v>300</v>
      </c>
      <c r="K13" s="529">
        <v>0</v>
      </c>
      <c r="L13" s="529">
        <v>0</v>
      </c>
    </row>
    <row r="14" spans="1:12" ht="18" customHeight="1" x14ac:dyDescent="0.3">
      <c r="A14" s="48" t="s">
        <v>232</v>
      </c>
      <c r="B14" s="117">
        <v>11000</v>
      </c>
      <c r="C14" s="58">
        <v>7500</v>
      </c>
      <c r="D14" s="58">
        <v>8000</v>
      </c>
      <c r="E14" s="58">
        <v>8000</v>
      </c>
      <c r="F14" s="466">
        <v>8000</v>
      </c>
      <c r="G14" s="466">
        <v>8000</v>
      </c>
      <c r="H14" s="466">
        <v>8000</v>
      </c>
      <c r="I14" s="466">
        <v>9000</v>
      </c>
      <c r="J14" s="466">
        <v>9000</v>
      </c>
      <c r="K14" s="466">
        <v>10000</v>
      </c>
      <c r="L14" s="466">
        <v>10000</v>
      </c>
    </row>
    <row r="15" spans="1:12" ht="18" customHeight="1" x14ac:dyDescent="0.3">
      <c r="A15" s="155" t="s">
        <v>176</v>
      </c>
      <c r="B15" s="49">
        <v>1500</v>
      </c>
      <c r="C15" s="49">
        <v>1000</v>
      </c>
      <c r="D15" s="49">
        <v>2000</v>
      </c>
      <c r="E15" s="49">
        <v>2000</v>
      </c>
      <c r="F15" s="529">
        <v>6000</v>
      </c>
      <c r="G15" s="529">
        <v>6000</v>
      </c>
      <c r="H15" s="529">
        <v>6000</v>
      </c>
      <c r="I15" s="529">
        <v>6000</v>
      </c>
      <c r="J15" s="529">
        <v>6000</v>
      </c>
      <c r="K15" s="529">
        <v>8000</v>
      </c>
      <c r="L15" s="529">
        <v>8000</v>
      </c>
    </row>
    <row r="16" spans="1:12" ht="18" customHeight="1" x14ac:dyDescent="0.3">
      <c r="A16" s="48" t="s">
        <v>233</v>
      </c>
      <c r="B16" s="49">
        <v>2000</v>
      </c>
      <c r="C16" s="117">
        <v>1500</v>
      </c>
      <c r="D16" s="117">
        <v>1500</v>
      </c>
      <c r="E16" s="117">
        <v>1500</v>
      </c>
      <c r="F16" s="534">
        <v>3800</v>
      </c>
      <c r="G16" s="534">
        <v>3500</v>
      </c>
      <c r="H16" s="534">
        <v>5500</v>
      </c>
      <c r="I16" s="534">
        <v>4000</v>
      </c>
      <c r="J16" s="534">
        <f>4000+(145*8)+(261*8)</f>
        <v>7248</v>
      </c>
      <c r="K16" s="534">
        <f>4000+(145*8)+(261*8)+2</f>
        <v>7250</v>
      </c>
      <c r="L16" s="534">
        <f>4000+(145*8)+(261*8)+2</f>
        <v>7250</v>
      </c>
    </row>
    <row r="17" spans="1:12" ht="18" customHeight="1" x14ac:dyDescent="0.3">
      <c r="A17" s="48" t="s">
        <v>177</v>
      </c>
      <c r="B17" s="49">
        <v>300</v>
      </c>
      <c r="C17" s="58">
        <v>300</v>
      </c>
      <c r="D17" s="58">
        <v>300</v>
      </c>
      <c r="E17" s="58">
        <v>300</v>
      </c>
      <c r="F17" s="466">
        <v>300</v>
      </c>
      <c r="G17" s="466">
        <v>300</v>
      </c>
      <c r="H17" s="466">
        <v>300</v>
      </c>
      <c r="I17" s="466">
        <v>350</v>
      </c>
      <c r="J17" s="466">
        <v>350</v>
      </c>
      <c r="K17" s="466">
        <v>350</v>
      </c>
      <c r="L17" s="466">
        <v>350</v>
      </c>
    </row>
    <row r="18" spans="1:12" ht="18" customHeight="1" x14ac:dyDescent="0.3">
      <c r="A18" s="50" t="s">
        <v>234</v>
      </c>
      <c r="B18" s="346">
        <v>750</v>
      </c>
      <c r="C18" s="347">
        <v>600</v>
      </c>
      <c r="D18" s="347">
        <v>600</v>
      </c>
      <c r="E18" s="347">
        <v>600</v>
      </c>
      <c r="F18" s="537">
        <v>1200</v>
      </c>
      <c r="G18" s="537">
        <v>1500</v>
      </c>
      <c r="H18" s="537">
        <v>1500</v>
      </c>
      <c r="I18" s="537">
        <v>1500</v>
      </c>
      <c r="J18" s="537">
        <v>1500</v>
      </c>
      <c r="K18" s="537">
        <v>1000</v>
      </c>
      <c r="L18" s="537">
        <v>1000</v>
      </c>
    </row>
    <row r="19" spans="1:12" ht="18" customHeight="1" x14ac:dyDescent="0.3">
      <c r="A19" s="50" t="s">
        <v>149</v>
      </c>
      <c r="B19" s="382">
        <v>1000</v>
      </c>
      <c r="C19" s="346">
        <v>1000</v>
      </c>
      <c r="D19" s="346">
        <v>1500</v>
      </c>
      <c r="E19" s="346">
        <v>3000</v>
      </c>
      <c r="F19" s="538">
        <v>2000</v>
      </c>
      <c r="G19" s="538">
        <v>3000</v>
      </c>
      <c r="H19" s="538">
        <v>3000</v>
      </c>
      <c r="I19" s="538">
        <v>3200</v>
      </c>
      <c r="J19" s="538">
        <v>3200</v>
      </c>
      <c r="K19" s="538">
        <v>3200</v>
      </c>
      <c r="L19" s="538">
        <v>3200</v>
      </c>
    </row>
    <row r="20" spans="1:12" ht="18" customHeight="1" x14ac:dyDescent="0.3">
      <c r="A20" s="106" t="s">
        <v>150</v>
      </c>
      <c r="B20" s="346">
        <v>250</v>
      </c>
      <c r="C20" s="382"/>
      <c r="D20" s="382">
        <v>750</v>
      </c>
      <c r="E20" s="382">
        <v>750</v>
      </c>
      <c r="F20" s="539">
        <v>500</v>
      </c>
      <c r="G20" s="539">
        <v>750</v>
      </c>
      <c r="H20" s="539">
        <v>2500</v>
      </c>
      <c r="I20" s="539">
        <v>3500</v>
      </c>
      <c r="J20" s="539">
        <v>2000</v>
      </c>
      <c r="K20" s="539">
        <v>2000</v>
      </c>
      <c r="L20" s="539">
        <v>2000</v>
      </c>
    </row>
    <row r="21" spans="1:12" ht="18" customHeight="1" x14ac:dyDescent="0.3">
      <c r="A21" s="50" t="s">
        <v>151</v>
      </c>
      <c r="B21" s="405"/>
      <c r="C21" s="346">
        <v>400</v>
      </c>
      <c r="D21" s="346">
        <v>400</v>
      </c>
      <c r="E21" s="346">
        <v>400</v>
      </c>
      <c r="F21" s="538">
        <v>200</v>
      </c>
      <c r="G21" s="538">
        <v>250</v>
      </c>
      <c r="H21" s="538">
        <v>250</v>
      </c>
      <c r="I21" s="538">
        <v>750</v>
      </c>
      <c r="J21" s="538">
        <f>200+(90*6)+(120*2)+(63*3)+(220*3)+(175*2)</f>
        <v>2179</v>
      </c>
      <c r="K21" s="538">
        <f>200+(90*6)+(120*2)+(63*3)+(220*3)+(175*2)</f>
        <v>2179</v>
      </c>
      <c r="L21" s="538">
        <f>200+(90*6)+(120*2)+(63*3)+(220*3)+(175*2)</f>
        <v>2179</v>
      </c>
    </row>
    <row r="22" spans="1:12" ht="18" hidden="1" customHeight="1" x14ac:dyDescent="0.3">
      <c r="A22" s="59" t="s">
        <v>346</v>
      </c>
      <c r="B22" s="347"/>
      <c r="C22" s="347">
        <v>25000</v>
      </c>
      <c r="D22" s="347"/>
      <c r="E22" s="347"/>
      <c r="F22" s="537">
        <v>27000</v>
      </c>
      <c r="G22" s="540">
        <v>0</v>
      </c>
      <c r="H22" s="540">
        <v>0</v>
      </c>
      <c r="I22" s="540">
        <v>0</v>
      </c>
      <c r="J22" s="540">
        <v>0</v>
      </c>
      <c r="K22" s="540">
        <v>0</v>
      </c>
      <c r="L22" s="540">
        <v>0</v>
      </c>
    </row>
    <row r="23" spans="1:12" ht="18" customHeight="1" x14ac:dyDescent="0.3">
      <c r="A23" s="50" t="s">
        <v>444</v>
      </c>
      <c r="C23" s="406"/>
      <c r="D23" s="406"/>
      <c r="E23" s="347">
        <v>9086</v>
      </c>
      <c r="F23" s="537">
        <v>4000</v>
      </c>
      <c r="G23" s="540">
        <v>0</v>
      </c>
      <c r="H23" s="540">
        <v>2000</v>
      </c>
      <c r="I23" s="540">
        <v>2750</v>
      </c>
      <c r="J23" s="540">
        <v>2900</v>
      </c>
      <c r="K23" s="540">
        <v>3000</v>
      </c>
      <c r="L23" s="540">
        <v>3000</v>
      </c>
    </row>
    <row r="24" spans="1:12" ht="18" hidden="1" customHeight="1" x14ac:dyDescent="0.3">
      <c r="A24" s="59" t="s">
        <v>510</v>
      </c>
      <c r="B24" s="348"/>
      <c r="C24" s="347"/>
      <c r="D24" s="347"/>
      <c r="E24" s="347">
        <v>5000</v>
      </c>
      <c r="F24" s="537">
        <v>0</v>
      </c>
      <c r="G24" s="540">
        <v>1500</v>
      </c>
      <c r="H24" s="540">
        <v>1500</v>
      </c>
      <c r="I24" s="540">
        <v>0</v>
      </c>
      <c r="J24" s="540">
        <v>0</v>
      </c>
      <c r="K24" s="540">
        <v>0</v>
      </c>
      <c r="L24" s="540">
        <v>0</v>
      </c>
    </row>
    <row r="25" spans="1:12" ht="18" hidden="1" customHeight="1" x14ac:dyDescent="0.3">
      <c r="A25" s="422" t="s">
        <v>445</v>
      </c>
      <c r="B25" s="421"/>
      <c r="C25" s="347"/>
      <c r="D25" s="347"/>
      <c r="E25" s="347"/>
      <c r="F25" s="537">
        <f>2*11500</f>
        <v>23000</v>
      </c>
      <c r="G25" s="540">
        <v>0</v>
      </c>
      <c r="H25" s="540">
        <v>0</v>
      </c>
      <c r="I25" s="540">
        <v>0</v>
      </c>
      <c r="J25" s="540">
        <v>0</v>
      </c>
      <c r="K25" s="540">
        <v>0</v>
      </c>
      <c r="L25" s="540">
        <v>0</v>
      </c>
    </row>
    <row r="26" spans="1:12" ht="18" hidden="1" customHeight="1" x14ac:dyDescent="0.3">
      <c r="A26" s="422" t="s">
        <v>446</v>
      </c>
      <c r="B26" s="421"/>
      <c r="C26" s="347"/>
      <c r="D26" s="347"/>
      <c r="E26" s="347"/>
      <c r="F26" s="537">
        <f>3*3500</f>
        <v>10500</v>
      </c>
      <c r="G26" s="540">
        <v>0</v>
      </c>
      <c r="H26" s="540">
        <v>0</v>
      </c>
      <c r="I26" s="540">
        <v>0</v>
      </c>
      <c r="J26" s="540">
        <v>0</v>
      </c>
      <c r="K26" s="540">
        <v>0</v>
      </c>
      <c r="L26" s="540">
        <v>0</v>
      </c>
    </row>
    <row r="27" spans="1:12" ht="18" customHeight="1" x14ac:dyDescent="0.3">
      <c r="A27" s="50" t="s">
        <v>597</v>
      </c>
      <c r="C27" s="50"/>
      <c r="D27" s="50"/>
      <c r="E27" s="50"/>
      <c r="F27" s="466">
        <v>0</v>
      </c>
      <c r="G27" s="467">
        <v>42000</v>
      </c>
      <c r="H27" s="467">
        <v>4000</v>
      </c>
      <c r="I27" s="467">
        <v>0</v>
      </c>
      <c r="J27" s="467">
        <v>15000</v>
      </c>
      <c r="K27" s="467">
        <v>25000</v>
      </c>
      <c r="L27" s="467">
        <v>0</v>
      </c>
    </row>
    <row r="28" spans="1:12" ht="18" customHeight="1" x14ac:dyDescent="0.3">
      <c r="A28" s="50" t="s">
        <v>602</v>
      </c>
      <c r="C28" s="406"/>
      <c r="D28" s="406"/>
      <c r="E28" s="741"/>
      <c r="F28" s="537"/>
      <c r="G28" s="540"/>
      <c r="H28" s="540"/>
      <c r="I28" s="540">
        <v>0</v>
      </c>
      <c r="J28" s="540">
        <f>(12*977.55)+(12*356.25)+(12*62)+62+944+183</f>
        <v>17938.599999999999</v>
      </c>
      <c r="K28" s="540">
        <v>0</v>
      </c>
      <c r="L28" s="540">
        <v>0</v>
      </c>
    </row>
    <row r="29" spans="1:12" ht="18" customHeight="1" x14ac:dyDescent="0.3">
      <c r="A29" s="752" t="s">
        <v>663</v>
      </c>
      <c r="C29" s="406"/>
      <c r="D29" s="406"/>
      <c r="E29" s="741"/>
      <c r="F29" s="537"/>
      <c r="G29" s="540"/>
      <c r="H29" s="540"/>
      <c r="I29" s="540">
        <v>0</v>
      </c>
      <c r="J29" s="540">
        <v>0</v>
      </c>
      <c r="K29" s="540">
        <f>3*1400</f>
        <v>4200</v>
      </c>
      <c r="L29" s="540">
        <f>2*(260+975+(2*800))</f>
        <v>5670</v>
      </c>
    </row>
    <row r="30" spans="1:12" ht="18" customHeight="1" x14ac:dyDescent="0.3">
      <c r="A30" s="752" t="s">
        <v>679</v>
      </c>
      <c r="C30" s="406"/>
      <c r="D30" s="406"/>
      <c r="E30" s="741"/>
      <c r="F30" s="537"/>
      <c r="G30" s="540"/>
      <c r="H30" s="540"/>
      <c r="I30" s="540"/>
      <c r="J30" s="540"/>
      <c r="K30" s="540"/>
      <c r="L30" s="540">
        <v>12000</v>
      </c>
    </row>
    <row r="31" spans="1:12" ht="18" customHeight="1" x14ac:dyDescent="0.3">
      <c r="A31" s="752" t="s">
        <v>671</v>
      </c>
      <c r="C31" s="406"/>
      <c r="D31" s="406"/>
      <c r="E31" s="741"/>
      <c r="F31" s="537"/>
      <c r="G31" s="540"/>
      <c r="H31" s="540"/>
      <c r="I31" s="540"/>
      <c r="J31" s="540"/>
      <c r="K31" s="540"/>
      <c r="L31" s="540">
        <f>9500*2</f>
        <v>19000</v>
      </c>
    </row>
    <row r="32" spans="1:12" ht="18" customHeight="1" x14ac:dyDescent="0.3">
      <c r="A32" s="730"/>
      <c r="B32" s="348">
        <v>-20000</v>
      </c>
      <c r="C32" s="348"/>
      <c r="D32" s="348"/>
      <c r="E32" s="347"/>
      <c r="F32" s="537"/>
      <c r="G32" s="540"/>
      <c r="H32" s="540"/>
      <c r="I32" s="540"/>
      <c r="J32" s="540"/>
      <c r="K32" s="540"/>
      <c r="L32" s="540"/>
    </row>
    <row r="33" spans="1:12" ht="18" customHeight="1" x14ac:dyDescent="0.3">
      <c r="A33" s="349" t="s">
        <v>130</v>
      </c>
      <c r="B33" s="329">
        <f t="shared" ref="B33:K33" si="0">SUM(B3:B32)</f>
        <v>10400</v>
      </c>
      <c r="C33" s="329">
        <f t="shared" si="0"/>
        <v>48250</v>
      </c>
      <c r="D33" s="329">
        <f t="shared" si="0"/>
        <v>26900</v>
      </c>
      <c r="E33" s="329">
        <f t="shared" si="0"/>
        <v>53326</v>
      </c>
      <c r="F33" s="541">
        <f t="shared" si="0"/>
        <v>102450</v>
      </c>
      <c r="G33" s="542">
        <f t="shared" si="0"/>
        <v>84200</v>
      </c>
      <c r="H33" s="542">
        <f t="shared" si="0"/>
        <v>52950</v>
      </c>
      <c r="I33" s="542">
        <f t="shared" si="0"/>
        <v>51450</v>
      </c>
      <c r="J33" s="542">
        <f t="shared" si="0"/>
        <v>88015.6</v>
      </c>
      <c r="K33" s="542">
        <f t="shared" si="0"/>
        <v>86579</v>
      </c>
      <c r="L33" s="542">
        <f>SUM(L3:L32)</f>
        <v>91799</v>
      </c>
    </row>
    <row r="34" spans="1:12" ht="18" customHeight="1" x14ac:dyDescent="0.3">
      <c r="A34" s="24"/>
    </row>
    <row r="35" spans="1:12" ht="18" customHeight="1" x14ac:dyDescent="0.3"/>
    <row r="38" spans="1:12" x14ac:dyDescent="0.3">
      <c r="A38" s="173"/>
    </row>
    <row r="39" spans="1:12" x14ac:dyDescent="0.3">
      <c r="A39" s="173"/>
    </row>
    <row r="40" spans="1:12" x14ac:dyDescent="0.3">
      <c r="A40" s="173"/>
    </row>
    <row r="41" spans="1:12" x14ac:dyDescent="0.3">
      <c r="A41" s="173"/>
    </row>
    <row r="42" spans="1:12" x14ac:dyDescent="0.3">
      <c r="A42" s="174"/>
    </row>
    <row r="43" spans="1:12" x14ac:dyDescent="0.3">
      <c r="A43" s="173"/>
    </row>
  </sheetData>
  <sortState ref="A4:E23">
    <sortCondition ref="A4:A23"/>
  </sortState>
  <phoneticPr fontId="18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/>
  </sheetViews>
  <sheetFormatPr defaultColWidth="9.140625" defaultRowHeight="16.5" x14ac:dyDescent="0.3"/>
  <cols>
    <col min="1" max="1" width="30.42578125" style="107" bestFit="1" customWidth="1"/>
    <col min="2" max="2" width="10.7109375" style="107" hidden="1" customWidth="1"/>
    <col min="3" max="3" width="11.5703125" style="107" hidden="1" customWidth="1"/>
    <col min="4" max="4" width="10.7109375" style="107" hidden="1" customWidth="1"/>
    <col min="5" max="8" width="11.5703125" style="107" hidden="1" customWidth="1"/>
    <col min="9" max="9" width="0" style="107" hidden="1" customWidth="1"/>
    <col min="10" max="16384" width="9.140625" style="107"/>
  </cols>
  <sheetData>
    <row r="1" spans="1:12" ht="24" customHeight="1" x14ac:dyDescent="0.3">
      <c r="A1" s="407" t="s">
        <v>392</v>
      </c>
      <c r="B1" s="149"/>
      <c r="C1" s="149"/>
      <c r="D1" s="149"/>
      <c r="E1" s="175"/>
      <c r="F1" s="175"/>
      <c r="G1" s="175"/>
      <c r="H1" s="175"/>
      <c r="I1" s="175"/>
      <c r="J1" s="175"/>
      <c r="K1" s="175"/>
      <c r="L1" s="175"/>
    </row>
    <row r="2" spans="1:12" ht="20.100000000000001" customHeight="1" x14ac:dyDescent="0.3">
      <c r="A2" s="154"/>
      <c r="B2" s="94"/>
      <c r="C2" s="94"/>
      <c r="D2" s="94"/>
      <c r="E2" s="50"/>
      <c r="F2" s="50"/>
      <c r="G2" s="50"/>
      <c r="H2" s="50"/>
      <c r="I2" s="50"/>
      <c r="J2" s="50"/>
      <c r="K2" s="50"/>
      <c r="L2" s="50"/>
    </row>
    <row r="3" spans="1:12" ht="20.100000000000001" customHeight="1" x14ac:dyDescent="0.3">
      <c r="A3" s="154"/>
      <c r="B3" s="37">
        <v>2010</v>
      </c>
      <c r="C3" s="105">
        <v>2013</v>
      </c>
      <c r="D3" s="105">
        <v>2014</v>
      </c>
      <c r="E3" s="105">
        <v>2015</v>
      </c>
      <c r="F3" s="105">
        <v>2016</v>
      </c>
      <c r="G3" s="105">
        <v>2017</v>
      </c>
      <c r="H3" s="105">
        <v>2018</v>
      </c>
      <c r="I3" s="105">
        <v>2019</v>
      </c>
      <c r="J3" s="105">
        <v>2020</v>
      </c>
      <c r="K3" s="105">
        <v>2021</v>
      </c>
      <c r="L3" s="105">
        <v>2022</v>
      </c>
    </row>
    <row r="4" spans="1:12" ht="20.100000000000001" customHeight="1" x14ac:dyDescent="0.3">
      <c r="A4" s="154"/>
      <c r="B4" s="97"/>
      <c r="C4" s="176"/>
      <c r="D4" s="176"/>
      <c r="E4" s="176"/>
      <c r="F4" s="543"/>
      <c r="G4" s="543"/>
      <c r="H4" s="543"/>
      <c r="I4" s="543"/>
      <c r="J4" s="543"/>
      <c r="K4" s="543"/>
      <c r="L4" s="543"/>
    </row>
    <row r="5" spans="1:12" ht="20.100000000000001" customHeight="1" x14ac:dyDescent="0.3">
      <c r="A5" s="48" t="s">
        <v>146</v>
      </c>
      <c r="B5" s="671">
        <v>16766</v>
      </c>
      <c r="C5" s="49">
        <v>19465</v>
      </c>
      <c r="D5" s="49">
        <v>19269</v>
      </c>
      <c r="E5" s="49">
        <v>18617.73</v>
      </c>
      <c r="F5" s="529">
        <v>19077</v>
      </c>
      <c r="G5" s="529">
        <v>15782</v>
      </c>
      <c r="H5" s="529">
        <v>22314</v>
      </c>
      <c r="I5" s="529">
        <v>22102</v>
      </c>
      <c r="J5" s="529">
        <v>23418</v>
      </c>
      <c r="K5" s="529">
        <v>19232</v>
      </c>
      <c r="L5" s="529">
        <f>'Uniform WS'!E52</f>
        <v>19120.3</v>
      </c>
    </row>
    <row r="6" spans="1:12" ht="20.100000000000001" customHeight="1" x14ac:dyDescent="0.3">
      <c r="A6" s="35" t="s">
        <v>147</v>
      </c>
      <c r="B6" s="671">
        <v>37450</v>
      </c>
      <c r="C6" s="38">
        <f>'Gear WS'!C28</f>
        <v>31900</v>
      </c>
      <c r="D6" s="38">
        <f>'Gear WS'!D28</f>
        <v>34917.75</v>
      </c>
      <c r="E6" s="38">
        <v>38575.300000000003</v>
      </c>
      <c r="F6" s="477">
        <v>48390</v>
      </c>
      <c r="G6" s="477">
        <f>'Gear WS'!G28</f>
        <v>109740</v>
      </c>
      <c r="H6" s="477">
        <f>'Gear WS'!H28</f>
        <v>59680</v>
      </c>
      <c r="I6" s="477">
        <f>'Gear WS'!I28</f>
        <v>44810</v>
      </c>
      <c r="J6" s="477">
        <v>52814</v>
      </c>
      <c r="K6" s="477">
        <v>43830</v>
      </c>
      <c r="L6" s="477">
        <f>'Gear WS'!L28</f>
        <v>41660</v>
      </c>
    </row>
    <row r="7" spans="1:12" ht="20.100000000000001" customHeight="1" x14ac:dyDescent="0.3">
      <c r="A7" s="202"/>
      <c r="B7" s="672"/>
      <c r="C7" s="672"/>
      <c r="D7" s="672"/>
      <c r="E7" s="672"/>
      <c r="F7" s="673"/>
      <c r="G7" s="673"/>
      <c r="H7" s="673"/>
      <c r="I7" s="673"/>
      <c r="J7" s="673"/>
      <c r="K7" s="673"/>
      <c r="L7" s="673"/>
    </row>
    <row r="8" spans="1:12" ht="20.100000000000001" customHeight="1" x14ac:dyDescent="0.3">
      <c r="A8" s="243"/>
      <c r="B8" s="38"/>
      <c r="C8" s="38"/>
      <c r="D8" s="38"/>
      <c r="E8" s="38"/>
      <c r="F8" s="477"/>
      <c r="G8" s="477"/>
      <c r="H8" s="477"/>
      <c r="I8" s="477"/>
      <c r="J8" s="477"/>
      <c r="K8" s="477"/>
      <c r="L8" s="477"/>
    </row>
    <row r="9" spans="1:12" ht="20.100000000000001" customHeight="1" x14ac:dyDescent="0.3">
      <c r="A9" s="243"/>
      <c r="B9" s="38"/>
      <c r="C9" s="38"/>
      <c r="D9" s="38"/>
      <c r="E9" s="38"/>
      <c r="F9" s="477"/>
      <c r="G9" s="477"/>
      <c r="H9" s="477"/>
      <c r="I9" s="477"/>
      <c r="J9" s="477"/>
      <c r="K9" s="477"/>
      <c r="L9" s="477"/>
    </row>
    <row r="10" spans="1:12" ht="20.100000000000001" customHeight="1" x14ac:dyDescent="0.3">
      <c r="A10" s="35"/>
      <c r="B10" s="38"/>
      <c r="C10" s="38"/>
      <c r="D10" s="38"/>
      <c r="E10" s="38"/>
      <c r="F10" s="477"/>
      <c r="G10" s="477"/>
      <c r="H10" s="477"/>
      <c r="I10" s="477"/>
      <c r="J10" s="477"/>
      <c r="K10" s="477"/>
      <c r="L10" s="477"/>
    </row>
    <row r="11" spans="1:12" ht="20.100000000000001" customHeight="1" thickBot="1" x14ac:dyDescent="0.35">
      <c r="A11" s="394"/>
      <c r="B11" s="361">
        <v>-24500</v>
      </c>
      <c r="C11" s="239"/>
      <c r="D11" s="239"/>
      <c r="E11" s="239"/>
      <c r="F11" s="569"/>
      <c r="G11" s="569"/>
      <c r="H11" s="569"/>
      <c r="I11" s="569"/>
      <c r="J11" s="569"/>
      <c r="K11" s="569"/>
      <c r="L11" s="569"/>
    </row>
    <row r="12" spans="1:12" ht="24" customHeight="1" thickTop="1" x14ac:dyDescent="0.3">
      <c r="A12" s="172" t="s">
        <v>131</v>
      </c>
      <c r="B12" s="40">
        <f t="shared" ref="B12:H12" si="0">SUM(B4:B11)</f>
        <v>29716</v>
      </c>
      <c r="C12" s="40">
        <f t="shared" si="0"/>
        <v>51365</v>
      </c>
      <c r="D12" s="40">
        <f t="shared" si="0"/>
        <v>54186.75</v>
      </c>
      <c r="E12" s="108">
        <f t="shared" si="0"/>
        <v>57193.03</v>
      </c>
      <c r="F12" s="557">
        <f t="shared" si="0"/>
        <v>67467</v>
      </c>
      <c r="G12" s="557">
        <f>SUM(G4:G11)</f>
        <v>125522</v>
      </c>
      <c r="H12" s="557">
        <f t="shared" si="0"/>
        <v>81994</v>
      </c>
      <c r="I12" s="557">
        <f>SUM(I4:I11)</f>
        <v>66912</v>
      </c>
      <c r="J12" s="557">
        <f>SUM(J4:J11)</f>
        <v>76232</v>
      </c>
      <c r="K12" s="557">
        <f>SUM(K4:K11)</f>
        <v>63062</v>
      </c>
      <c r="L12" s="557">
        <f>SUM(L4:L11)</f>
        <v>60780.3</v>
      </c>
    </row>
    <row r="13" spans="1:12" x14ac:dyDescent="0.3">
      <c r="B13" s="24"/>
      <c r="C13" s="24"/>
    </row>
    <row r="14" spans="1:12" x14ac:dyDescent="0.3">
      <c r="B14" s="24"/>
      <c r="C14" s="24"/>
    </row>
    <row r="15" spans="1:12" x14ac:dyDescent="0.3">
      <c r="B15" s="24"/>
      <c r="C15" s="24"/>
    </row>
    <row r="16" spans="1:12" x14ac:dyDescent="0.3">
      <c r="B16" s="24"/>
      <c r="C16" s="24"/>
    </row>
    <row r="17" spans="2:3" x14ac:dyDescent="0.3">
      <c r="B17" s="24"/>
      <c r="C17" s="24"/>
    </row>
    <row r="18" spans="2:3" x14ac:dyDescent="0.3">
      <c r="B18" s="24"/>
      <c r="C18" s="24"/>
    </row>
    <row r="19" spans="2:3" x14ac:dyDescent="0.3">
      <c r="B19" s="24"/>
      <c r="C19" s="24"/>
    </row>
    <row r="20" spans="2:3" x14ac:dyDescent="0.3">
      <c r="B20" s="24"/>
      <c r="C20" s="24"/>
    </row>
    <row r="21" spans="2:3" x14ac:dyDescent="0.3">
      <c r="B21" s="24"/>
      <c r="C21" s="24"/>
    </row>
    <row r="22" spans="2:3" x14ac:dyDescent="0.3">
      <c r="B22" s="24"/>
      <c r="C22" s="24"/>
    </row>
    <row r="23" spans="2:3" x14ac:dyDescent="0.3">
      <c r="B23" s="24"/>
      <c r="C23" s="24"/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4"/>
  <sheetViews>
    <sheetView workbookViewId="0">
      <selection sqref="A1:E1"/>
    </sheetView>
  </sheetViews>
  <sheetFormatPr defaultColWidth="9.140625" defaultRowHeight="18.75" customHeight="1" x14ac:dyDescent="0.2"/>
  <cols>
    <col min="1" max="1" width="36.5703125" style="5" customWidth="1"/>
    <col min="2" max="2" width="12.140625" style="5" customWidth="1"/>
    <col min="3" max="3" width="12.85546875" style="8" bestFit="1" customWidth="1"/>
    <col min="4" max="4" width="14.140625" style="9" bestFit="1" customWidth="1"/>
    <col min="5" max="5" width="14.28515625" style="5" bestFit="1" customWidth="1"/>
    <col min="6" max="6" width="14.28515625" customWidth="1"/>
    <col min="7" max="7" width="14.140625" style="9" bestFit="1" customWidth="1"/>
    <col min="8" max="9" width="9.140625" style="5"/>
    <col min="10" max="10" width="13.28515625" style="5" customWidth="1"/>
    <col min="11" max="16384" width="9.140625" style="5"/>
  </cols>
  <sheetData>
    <row r="1" spans="1:7" ht="27.75" customHeight="1" x14ac:dyDescent="0.2">
      <c r="A1" s="784" t="s">
        <v>278</v>
      </c>
      <c r="B1" s="785"/>
      <c r="C1" s="785"/>
      <c r="D1" s="785"/>
      <c r="E1" s="786"/>
      <c r="G1" s="5"/>
    </row>
    <row r="2" spans="1:7" ht="15.75" x14ac:dyDescent="0.25">
      <c r="A2" s="256" t="s">
        <v>95</v>
      </c>
      <c r="B2" s="257"/>
      <c r="C2" s="257"/>
      <c r="D2" s="257"/>
      <c r="E2" s="258"/>
      <c r="G2" s="5"/>
    </row>
    <row r="3" spans="1:7" s="10" customFormat="1" ht="15.75" x14ac:dyDescent="0.25">
      <c r="A3" s="26" t="s">
        <v>96</v>
      </c>
      <c r="B3" s="259" t="s">
        <v>568</v>
      </c>
      <c r="C3" s="259" t="s">
        <v>97</v>
      </c>
      <c r="D3" s="259" t="s">
        <v>98</v>
      </c>
      <c r="E3" s="260" t="s">
        <v>99</v>
      </c>
      <c r="F3"/>
    </row>
    <row r="4" spans="1:7" ht="14.1" customHeight="1" x14ac:dyDescent="0.25">
      <c r="A4" s="221" t="s">
        <v>100</v>
      </c>
      <c r="B4" s="219">
        <v>30</v>
      </c>
      <c r="C4" s="219">
        <v>0.5</v>
      </c>
      <c r="D4" s="261">
        <f>((87.5+97.5)/2)+6</f>
        <v>98.5</v>
      </c>
      <c r="E4" s="273">
        <f t="shared" ref="E4:E9" si="0">B4*C4*D4</f>
        <v>1477.5</v>
      </c>
      <c r="G4" s="5"/>
    </row>
    <row r="5" spans="1:7" ht="14.1" customHeight="1" x14ac:dyDescent="0.25">
      <c r="A5" s="221" t="s">
        <v>101</v>
      </c>
      <c r="B5" s="219">
        <f>B4</f>
        <v>30</v>
      </c>
      <c r="C5" s="219">
        <v>1</v>
      </c>
      <c r="D5" s="261">
        <f>104.5</f>
        <v>104.5</v>
      </c>
      <c r="E5" s="273">
        <f t="shared" si="0"/>
        <v>3135</v>
      </c>
      <c r="G5" s="5"/>
    </row>
    <row r="6" spans="1:7" ht="14.1" customHeight="1" x14ac:dyDescent="0.25">
      <c r="A6" s="221" t="s">
        <v>482</v>
      </c>
      <c r="B6" s="219">
        <f>B4</f>
        <v>30</v>
      </c>
      <c r="C6" s="219">
        <v>4</v>
      </c>
      <c r="D6" s="261">
        <v>12</v>
      </c>
      <c r="E6" s="273">
        <f t="shared" si="0"/>
        <v>1440</v>
      </c>
      <c r="G6" s="5"/>
    </row>
    <row r="7" spans="1:7" ht="14.1" customHeight="1" x14ac:dyDescent="0.25">
      <c r="A7" s="221" t="s">
        <v>567</v>
      </c>
      <c r="B7" s="219">
        <f>B4</f>
        <v>30</v>
      </c>
      <c r="C7" s="219">
        <v>2</v>
      </c>
      <c r="D7" s="261">
        <f>42+8+6</f>
        <v>56</v>
      </c>
      <c r="E7" s="273">
        <f t="shared" si="0"/>
        <v>3360</v>
      </c>
      <c r="G7" s="5"/>
    </row>
    <row r="8" spans="1:7" ht="14.1" customHeight="1" x14ac:dyDescent="0.25">
      <c r="A8" s="221" t="s">
        <v>113</v>
      </c>
      <c r="B8" s="219">
        <f>B4</f>
        <v>30</v>
      </c>
      <c r="C8" s="219">
        <v>1</v>
      </c>
      <c r="D8" s="261">
        <f>64.5</f>
        <v>64.5</v>
      </c>
      <c r="E8" s="273">
        <f t="shared" si="0"/>
        <v>1935</v>
      </c>
      <c r="G8" s="5"/>
    </row>
    <row r="9" spans="1:7" ht="14.1" customHeight="1" x14ac:dyDescent="0.25">
      <c r="A9" s="221" t="s">
        <v>570</v>
      </c>
      <c r="B9" s="219">
        <f>B4</f>
        <v>30</v>
      </c>
      <c r="C9" s="219">
        <v>1</v>
      </c>
      <c r="D9" s="261">
        <v>20</v>
      </c>
      <c r="E9" s="273">
        <f t="shared" si="0"/>
        <v>600</v>
      </c>
      <c r="G9" s="5"/>
    </row>
    <row r="10" spans="1:7" ht="14.1" customHeight="1" x14ac:dyDescent="0.25">
      <c r="A10" s="262"/>
      <c r="B10" s="219"/>
      <c r="C10" s="219"/>
      <c r="D10" s="220"/>
      <c r="E10" s="274">
        <f>SUM(E4:E9)</f>
        <v>11947.5</v>
      </c>
      <c r="G10" s="5"/>
    </row>
    <row r="11" spans="1:7" ht="14.1" customHeight="1" x14ac:dyDescent="0.25">
      <c r="A11" s="262" t="s">
        <v>102</v>
      </c>
      <c r="B11" s="219"/>
      <c r="C11" s="219"/>
      <c r="D11" s="219"/>
      <c r="E11" s="275"/>
      <c r="G11" s="5"/>
    </row>
    <row r="12" spans="1:7" s="7" customFormat="1" ht="14.1" customHeight="1" x14ac:dyDescent="0.25">
      <c r="A12" s="26" t="str">
        <f>A3</f>
        <v>Item</v>
      </c>
      <c r="B12" s="259" t="str">
        <f>B3</f>
        <v>Personnel</v>
      </c>
      <c r="C12" s="259" t="str">
        <f>C3</f>
        <v>Quantity</v>
      </c>
      <c r="D12" s="259" t="str">
        <f>D3</f>
        <v xml:space="preserve">Cost </v>
      </c>
      <c r="E12" s="260" t="str">
        <f>E3</f>
        <v>Total</v>
      </c>
      <c r="F12"/>
    </row>
    <row r="13" spans="1:7" ht="14.1" customHeight="1" x14ac:dyDescent="0.25">
      <c r="A13" s="221" t="str">
        <f>A4</f>
        <v>Nomex Shirt</v>
      </c>
      <c r="B13" s="219">
        <v>3</v>
      </c>
      <c r="C13" s="219">
        <v>0</v>
      </c>
      <c r="D13" s="261">
        <f>D4</f>
        <v>98.5</v>
      </c>
      <c r="E13" s="273">
        <f>B13*C13*D13</f>
        <v>0</v>
      </c>
      <c r="G13" s="5"/>
    </row>
    <row r="14" spans="1:7" ht="14.1" customHeight="1" x14ac:dyDescent="0.25">
      <c r="A14" s="221" t="str">
        <f>A6</f>
        <v>T-Shirt</v>
      </c>
      <c r="B14" s="219">
        <f>B13</f>
        <v>3</v>
      </c>
      <c r="C14" s="219">
        <v>2</v>
      </c>
      <c r="D14" s="261">
        <f>D6</f>
        <v>12</v>
      </c>
      <c r="E14" s="273">
        <f>B14*C14*D14</f>
        <v>72</v>
      </c>
      <c r="G14" s="5"/>
    </row>
    <row r="15" spans="1:7" ht="14.1" customHeight="1" x14ac:dyDescent="0.25">
      <c r="A15" s="221" t="str">
        <f>A7</f>
        <v>Golf Shirt</v>
      </c>
      <c r="B15" s="219">
        <f>B13</f>
        <v>3</v>
      </c>
      <c r="C15" s="219">
        <v>1</v>
      </c>
      <c r="D15" s="261">
        <f>D7</f>
        <v>56</v>
      </c>
      <c r="E15" s="273">
        <f>B15*C15*D15</f>
        <v>168</v>
      </c>
      <c r="G15" s="5"/>
    </row>
    <row r="16" spans="1:7" ht="14.1" customHeight="1" x14ac:dyDescent="0.25">
      <c r="A16" s="221" t="str">
        <f>A8</f>
        <v>EMT Pants</v>
      </c>
      <c r="B16" s="219">
        <f>B13</f>
        <v>3</v>
      </c>
      <c r="C16" s="219">
        <v>1</v>
      </c>
      <c r="D16" s="261">
        <f>D8</f>
        <v>64.5</v>
      </c>
      <c r="E16" s="273">
        <f>B16*C16*D16</f>
        <v>193.5</v>
      </c>
      <c r="G16" s="5"/>
    </row>
    <row r="17" spans="1:7" ht="14.1" customHeight="1" x14ac:dyDescent="0.25">
      <c r="A17" s="221" t="str">
        <f>A9</f>
        <v>Uniform Shorts</v>
      </c>
      <c r="B17" s="219">
        <v>3</v>
      </c>
      <c r="C17" s="219">
        <v>1</v>
      </c>
      <c r="D17" s="261">
        <f>D9</f>
        <v>20</v>
      </c>
      <c r="E17" s="273">
        <f>B17*C17*D17</f>
        <v>60</v>
      </c>
      <c r="G17" s="5"/>
    </row>
    <row r="18" spans="1:7" ht="14.1" customHeight="1" x14ac:dyDescent="0.25">
      <c r="A18" s="221"/>
      <c r="B18" s="219"/>
      <c r="C18" s="219"/>
      <c r="D18" s="220"/>
      <c r="E18" s="276">
        <f>SUM(E13:E17)</f>
        <v>493.5</v>
      </c>
      <c r="G18" s="5"/>
    </row>
    <row r="19" spans="1:7" ht="14.1" customHeight="1" x14ac:dyDescent="0.25">
      <c r="A19" s="262" t="s">
        <v>651</v>
      </c>
      <c r="B19" s="219"/>
      <c r="C19" s="219"/>
      <c r="D19" s="219"/>
      <c r="E19" s="222"/>
      <c r="G19" s="5"/>
    </row>
    <row r="20" spans="1:7" s="7" customFormat="1" ht="14.1" customHeight="1" x14ac:dyDescent="0.25">
      <c r="A20" s="26" t="str">
        <f>A3</f>
        <v>Item</v>
      </c>
      <c r="B20" s="259" t="str">
        <f>B3</f>
        <v>Personnel</v>
      </c>
      <c r="C20" s="259" t="str">
        <f>C3</f>
        <v>Quantity</v>
      </c>
      <c r="D20" s="259" t="str">
        <f>D3</f>
        <v xml:space="preserve">Cost </v>
      </c>
      <c r="E20" s="260" t="str">
        <f>E3</f>
        <v>Total</v>
      </c>
      <c r="F20"/>
    </row>
    <row r="21" spans="1:7" ht="14.1" customHeight="1" x14ac:dyDescent="0.25">
      <c r="A21" s="221" t="str">
        <f>A4</f>
        <v>Nomex Shirt</v>
      </c>
      <c r="B21" s="412">
        <v>1</v>
      </c>
      <c r="C21" s="219">
        <v>4</v>
      </c>
      <c r="D21" s="261">
        <f>D4</f>
        <v>98.5</v>
      </c>
      <c r="E21" s="273">
        <f>B21*C21*D21</f>
        <v>394</v>
      </c>
      <c r="G21" s="5"/>
    </row>
    <row r="22" spans="1:7" ht="14.1" customHeight="1" x14ac:dyDescent="0.25">
      <c r="A22" s="221" t="str">
        <f>A5</f>
        <v>Nomex Pants</v>
      </c>
      <c r="B22" s="412">
        <f>B21</f>
        <v>1</v>
      </c>
      <c r="C22" s="219">
        <v>2</v>
      </c>
      <c r="D22" s="261">
        <f>D5</f>
        <v>104.5</v>
      </c>
      <c r="E22" s="273">
        <f>B22*C22*D22</f>
        <v>209</v>
      </c>
      <c r="G22" s="5"/>
    </row>
    <row r="23" spans="1:7" ht="14.1" customHeight="1" x14ac:dyDescent="0.25">
      <c r="A23" s="221" t="str">
        <f>A6</f>
        <v>T-Shirt</v>
      </c>
      <c r="B23" s="412">
        <f>B21</f>
        <v>1</v>
      </c>
      <c r="C23" s="219">
        <v>5</v>
      </c>
      <c r="D23" s="261">
        <f>D6</f>
        <v>12</v>
      </c>
      <c r="E23" s="273">
        <f>B23*C23*D23</f>
        <v>60</v>
      </c>
      <c r="G23" s="5"/>
    </row>
    <row r="24" spans="1:7" ht="14.1" customHeight="1" x14ac:dyDescent="0.25">
      <c r="A24" s="221" t="str">
        <f>A7</f>
        <v>Golf Shirt</v>
      </c>
      <c r="B24" s="412">
        <f>B21</f>
        <v>1</v>
      </c>
      <c r="C24" s="219">
        <v>1</v>
      </c>
      <c r="D24" s="261">
        <f>D7</f>
        <v>56</v>
      </c>
      <c r="E24" s="273">
        <f>B24*C24*D24</f>
        <v>56</v>
      </c>
      <c r="G24" s="5"/>
    </row>
    <row r="25" spans="1:7" ht="14.1" customHeight="1" x14ac:dyDescent="0.25">
      <c r="A25" s="221" t="str">
        <f>A8</f>
        <v>EMT Pants</v>
      </c>
      <c r="B25" s="412">
        <f>B21</f>
        <v>1</v>
      </c>
      <c r="C25" s="219">
        <v>0</v>
      </c>
      <c r="D25" s="220">
        <f>D8</f>
        <v>64.5</v>
      </c>
      <c r="E25" s="273">
        <f>B25*C25*D25</f>
        <v>0</v>
      </c>
      <c r="G25" s="5"/>
    </row>
    <row r="26" spans="1:7" ht="14.1" customHeight="1" x14ac:dyDescent="0.25">
      <c r="A26" s="262"/>
      <c r="B26" s="219"/>
      <c r="C26" s="219"/>
      <c r="D26" s="220"/>
      <c r="E26" s="276">
        <f>SUM(E21:E25)</f>
        <v>719</v>
      </c>
      <c r="G26" s="5"/>
    </row>
    <row r="27" spans="1:7" ht="14.1" customHeight="1" x14ac:dyDescent="0.25">
      <c r="A27" s="262" t="s">
        <v>609</v>
      </c>
      <c r="B27" s="219"/>
      <c r="C27" s="219"/>
      <c r="D27" s="219"/>
      <c r="E27" s="222"/>
      <c r="G27" s="5"/>
    </row>
    <row r="28" spans="1:7" s="7" customFormat="1" ht="14.1" customHeight="1" x14ac:dyDescent="0.25">
      <c r="A28" s="63" t="str">
        <f>A3</f>
        <v>Item</v>
      </c>
      <c r="B28" s="259" t="str">
        <f>B3</f>
        <v>Personnel</v>
      </c>
      <c r="C28" s="259" t="str">
        <f>C3</f>
        <v>Quantity</v>
      </c>
      <c r="D28" s="259" t="str">
        <f>D3</f>
        <v xml:space="preserve">Cost </v>
      </c>
      <c r="E28" s="260" t="str">
        <f>E3</f>
        <v>Total</v>
      </c>
      <c r="F28"/>
    </row>
    <row r="29" spans="1:7" ht="14.1" customHeight="1" x14ac:dyDescent="0.25">
      <c r="A29" s="221" t="str">
        <f>A7</f>
        <v>Golf Shirt</v>
      </c>
      <c r="B29" s="219">
        <v>2</v>
      </c>
      <c r="C29" s="219">
        <v>2</v>
      </c>
      <c r="D29" s="261">
        <f>D7</f>
        <v>56</v>
      </c>
      <c r="E29" s="273">
        <f>B29*C29*D29</f>
        <v>224</v>
      </c>
      <c r="G29" s="5"/>
    </row>
    <row r="30" spans="1:7" ht="14.1" customHeight="1" x14ac:dyDescent="0.25">
      <c r="A30" s="262"/>
      <c r="B30" s="219"/>
      <c r="C30" s="219"/>
      <c r="D30" s="220"/>
      <c r="E30" s="277">
        <f>SUM(E29)</f>
        <v>224</v>
      </c>
      <c r="G30" s="5"/>
    </row>
    <row r="31" spans="1:7" ht="14.1" customHeight="1" x14ac:dyDescent="0.25">
      <c r="A31" s="262" t="s">
        <v>103</v>
      </c>
      <c r="B31" s="219"/>
      <c r="C31" s="219"/>
      <c r="D31" s="219"/>
      <c r="E31" s="222"/>
      <c r="G31" s="5"/>
    </row>
    <row r="32" spans="1:7" s="7" customFormat="1" ht="14.1" customHeight="1" x14ac:dyDescent="0.25">
      <c r="A32" s="26" t="str">
        <f>A3</f>
        <v>Item</v>
      </c>
      <c r="B32" s="259" t="str">
        <f>B3</f>
        <v>Personnel</v>
      </c>
      <c r="C32" s="259" t="str">
        <f>C3</f>
        <v>Quantity</v>
      </c>
      <c r="D32" s="259" t="str">
        <f>D3</f>
        <v xml:space="preserve">Cost </v>
      </c>
      <c r="E32" s="260" t="str">
        <f>E3</f>
        <v>Total</v>
      </c>
      <c r="F32"/>
    </row>
    <row r="33" spans="1:7" ht="14.1" customHeight="1" x14ac:dyDescent="0.25">
      <c r="A33" s="221" t="str">
        <f>A4</f>
        <v>Nomex Shirt</v>
      </c>
      <c r="B33" s="219">
        <v>2</v>
      </c>
      <c r="C33" s="219">
        <v>0.5</v>
      </c>
      <c r="D33" s="261">
        <f>D4</f>
        <v>98.5</v>
      </c>
      <c r="E33" s="273">
        <f>B33*C33*D33</f>
        <v>98.5</v>
      </c>
      <c r="G33" s="5"/>
    </row>
    <row r="34" spans="1:7" ht="14.1" customHeight="1" x14ac:dyDescent="0.25">
      <c r="A34" s="221" t="str">
        <f>A6</f>
        <v>T-Shirt</v>
      </c>
      <c r="B34" s="219">
        <f>B33</f>
        <v>2</v>
      </c>
      <c r="C34" s="219">
        <v>2</v>
      </c>
      <c r="D34" s="261">
        <f>D6</f>
        <v>12</v>
      </c>
      <c r="E34" s="273">
        <f>B34*C34*D34</f>
        <v>48</v>
      </c>
      <c r="G34" s="5"/>
    </row>
    <row r="35" spans="1:7" ht="14.1" customHeight="1" x14ac:dyDescent="0.25">
      <c r="A35" s="221" t="str">
        <f>A7</f>
        <v>Golf Shirt</v>
      </c>
      <c r="B35" s="219">
        <f>B33</f>
        <v>2</v>
      </c>
      <c r="C35" s="219">
        <v>1</v>
      </c>
      <c r="D35" s="261">
        <f>D7</f>
        <v>56</v>
      </c>
      <c r="E35" s="273">
        <f>B35*C35*D35</f>
        <v>112</v>
      </c>
      <c r="G35" s="5"/>
    </row>
    <row r="36" spans="1:7" ht="14.1" customHeight="1" x14ac:dyDescent="0.25">
      <c r="A36" s="221" t="str">
        <f>A8</f>
        <v>EMT Pants</v>
      </c>
      <c r="B36" s="219">
        <f>B33</f>
        <v>2</v>
      </c>
      <c r="C36" s="219">
        <v>1</v>
      </c>
      <c r="D36" s="261">
        <f>D8</f>
        <v>64.5</v>
      </c>
      <c r="E36" s="273">
        <f>B36*C36*D36</f>
        <v>129</v>
      </c>
      <c r="G36" s="5"/>
    </row>
    <row r="37" spans="1:7" ht="18" customHeight="1" x14ac:dyDescent="0.25">
      <c r="A37" s="262"/>
      <c r="B37" s="219"/>
      <c r="C37" s="219"/>
      <c r="D37" s="261"/>
      <c r="E37" s="278">
        <f>SUM(E33:E36)</f>
        <v>387.5</v>
      </c>
      <c r="G37" s="5"/>
    </row>
    <row r="38" spans="1:7" ht="14.1" customHeight="1" x14ac:dyDescent="0.25">
      <c r="A38" s="262" t="s">
        <v>114</v>
      </c>
      <c r="B38" s="219"/>
      <c r="C38" s="219"/>
      <c r="D38" s="263"/>
      <c r="E38" s="279"/>
      <c r="G38" s="5"/>
    </row>
    <row r="39" spans="1:7" ht="14.1" customHeight="1" x14ac:dyDescent="0.25">
      <c r="A39" s="26" t="str">
        <f>A3</f>
        <v>Item</v>
      </c>
      <c r="B39" s="259"/>
      <c r="C39" s="259" t="str">
        <f>C3</f>
        <v>Quantity</v>
      </c>
      <c r="D39" s="259" t="str">
        <f>D3</f>
        <v xml:space="preserve">Cost </v>
      </c>
      <c r="E39" s="260" t="str">
        <f>E3</f>
        <v>Total</v>
      </c>
      <c r="G39" s="5"/>
    </row>
    <row r="40" spans="1:7" ht="14.1" customHeight="1" x14ac:dyDescent="0.25">
      <c r="A40" s="221" t="s">
        <v>105</v>
      </c>
      <c r="B40" s="219"/>
      <c r="C40" s="219">
        <v>0</v>
      </c>
      <c r="D40" s="261">
        <v>120</v>
      </c>
      <c r="E40" s="391">
        <f>C40*D40</f>
        <v>0</v>
      </c>
      <c r="F40" s="206"/>
      <c r="G40" s="5"/>
    </row>
    <row r="41" spans="1:7" ht="14.1" customHeight="1" x14ac:dyDescent="0.25">
      <c r="A41" s="221" t="s">
        <v>8</v>
      </c>
      <c r="B41" s="219"/>
      <c r="C41" s="219">
        <v>500</v>
      </c>
      <c r="D41" s="261"/>
      <c r="E41" s="391">
        <f t="shared" ref="E41:E49" si="1">C41*D41</f>
        <v>0</v>
      </c>
      <c r="G41" s="5"/>
    </row>
    <row r="42" spans="1:7" ht="14.1" customHeight="1" x14ac:dyDescent="0.25">
      <c r="A42" s="221" t="s">
        <v>118</v>
      </c>
      <c r="B42" s="219"/>
      <c r="C42" s="219">
        <v>4</v>
      </c>
      <c r="D42" s="261">
        <f>12.2</f>
        <v>12.2</v>
      </c>
      <c r="E42" s="391">
        <f t="shared" si="1"/>
        <v>48.8</v>
      </c>
      <c r="G42" s="5"/>
    </row>
    <row r="43" spans="1:7" ht="14.1" customHeight="1" x14ac:dyDescent="0.25">
      <c r="A43" s="264" t="s">
        <v>115</v>
      </c>
      <c r="B43" s="265"/>
      <c r="C43" s="265">
        <v>0</v>
      </c>
      <c r="D43" s="266">
        <f>6.95</f>
        <v>6.95</v>
      </c>
      <c r="E43" s="391">
        <f t="shared" si="1"/>
        <v>0</v>
      </c>
      <c r="G43" s="5"/>
    </row>
    <row r="44" spans="1:7" ht="14.1" customHeight="1" x14ac:dyDescent="0.25">
      <c r="A44" s="264" t="s">
        <v>116</v>
      </c>
      <c r="B44" s="265"/>
      <c r="C44" s="265">
        <v>10</v>
      </c>
      <c r="D44" s="266">
        <f>21.2</f>
        <v>21.2</v>
      </c>
      <c r="E44" s="391">
        <f t="shared" si="1"/>
        <v>212</v>
      </c>
      <c r="G44" s="5"/>
    </row>
    <row r="45" spans="1:7" ht="14.1" customHeight="1" x14ac:dyDescent="0.25">
      <c r="A45" s="264" t="s">
        <v>104</v>
      </c>
      <c r="B45" s="265"/>
      <c r="C45" s="265">
        <v>6</v>
      </c>
      <c r="D45" s="266">
        <f>295+18+10+10</f>
        <v>333</v>
      </c>
      <c r="E45" s="391">
        <f t="shared" si="1"/>
        <v>1998</v>
      </c>
      <c r="G45" s="5"/>
    </row>
    <row r="46" spans="1:7" ht="14.1" customHeight="1" x14ac:dyDescent="0.25">
      <c r="A46" s="264" t="s">
        <v>117</v>
      </c>
      <c r="B46" s="265"/>
      <c r="C46" s="265">
        <v>5</v>
      </c>
      <c r="D46" s="266">
        <v>10</v>
      </c>
      <c r="E46" s="391">
        <f t="shared" si="1"/>
        <v>50</v>
      </c>
      <c r="G46" s="5"/>
    </row>
    <row r="47" spans="1:7" ht="13.5" customHeight="1" x14ac:dyDescent="0.25">
      <c r="A47" s="221" t="s">
        <v>9</v>
      </c>
      <c r="B47" s="219"/>
      <c r="C47" s="219">
        <v>40</v>
      </c>
      <c r="D47" s="220">
        <v>14</v>
      </c>
      <c r="E47" s="391">
        <f t="shared" si="1"/>
        <v>560</v>
      </c>
      <c r="G47" s="5"/>
    </row>
    <row r="48" spans="1:7" ht="13.5" customHeight="1" x14ac:dyDescent="0.25">
      <c r="A48" s="221" t="s">
        <v>318</v>
      </c>
      <c r="B48" s="219"/>
      <c r="C48" s="219">
        <v>40</v>
      </c>
      <c r="D48" s="220">
        <v>30</v>
      </c>
      <c r="E48" s="391">
        <f t="shared" si="1"/>
        <v>1200</v>
      </c>
      <c r="G48" s="5"/>
    </row>
    <row r="49" spans="1:7" ht="13.5" customHeight="1" x14ac:dyDescent="0.25">
      <c r="A49" s="738" t="s">
        <v>569</v>
      </c>
      <c r="B49" s="268"/>
      <c r="C49" s="268">
        <v>40</v>
      </c>
      <c r="D49" s="269">
        <v>32</v>
      </c>
      <c r="E49" s="739">
        <f t="shared" si="1"/>
        <v>1280</v>
      </c>
      <c r="G49" s="5"/>
    </row>
    <row r="50" spans="1:7" ht="13.5" customHeight="1" x14ac:dyDescent="0.25">
      <c r="A50" s="267"/>
      <c r="B50" s="268"/>
      <c r="C50" s="268"/>
      <c r="D50" s="269"/>
      <c r="E50" s="280">
        <f>SUM(E40:E49)</f>
        <v>5348.8</v>
      </c>
      <c r="G50" s="5"/>
    </row>
    <row r="51" spans="1:7" ht="13.5" customHeight="1" x14ac:dyDescent="0.25">
      <c r="A51" s="267"/>
      <c r="B51" s="268"/>
      <c r="C51" s="268"/>
      <c r="D51" s="269"/>
      <c r="E51" s="280"/>
      <c r="G51" s="5"/>
    </row>
    <row r="52" spans="1:7" ht="30" customHeight="1" x14ac:dyDescent="0.25">
      <c r="A52" s="270" t="s">
        <v>76</v>
      </c>
      <c r="B52" s="271"/>
      <c r="C52" s="271"/>
      <c r="D52" s="223"/>
      <c r="E52" s="272">
        <f>E10+E18+E26+E30+E37+E50+E51</f>
        <v>19120.3</v>
      </c>
      <c r="G52" s="5"/>
    </row>
    <row r="53" spans="1:7" ht="18.75" customHeight="1" x14ac:dyDescent="0.2">
      <c r="A53" s="12"/>
      <c r="B53" s="12"/>
      <c r="C53" s="12"/>
      <c r="D53" s="12"/>
      <c r="E53" s="12"/>
      <c r="G53" s="5"/>
    </row>
    <row r="54" spans="1:7" ht="18.75" customHeight="1" x14ac:dyDescent="0.2">
      <c r="A54" s="12"/>
      <c r="B54" s="12"/>
      <c r="C54" s="12"/>
      <c r="D54" s="12"/>
      <c r="E54" s="12"/>
      <c r="G54" s="5"/>
    </row>
    <row r="55" spans="1:7" ht="18.75" customHeight="1" x14ac:dyDescent="0.2">
      <c r="A55" s="12"/>
      <c r="B55" s="12"/>
      <c r="C55" s="12"/>
      <c r="D55" s="12"/>
      <c r="E55" s="12"/>
      <c r="G55" s="5"/>
    </row>
    <row r="56" spans="1:7" ht="18.75" customHeight="1" x14ac:dyDescent="0.2">
      <c r="A56" s="12"/>
      <c r="B56" s="12"/>
      <c r="C56" s="12"/>
      <c r="D56" s="12"/>
      <c r="E56" s="12"/>
      <c r="G56" s="5"/>
    </row>
    <row r="57" spans="1:7" ht="18.75" customHeight="1" x14ac:dyDescent="0.2">
      <c r="A57" s="12"/>
      <c r="B57" s="12"/>
      <c r="C57" s="12"/>
      <c r="D57" s="12"/>
      <c r="E57" s="12"/>
      <c r="G57" s="5"/>
    </row>
    <row r="58" spans="1:7" ht="18.75" customHeight="1" x14ac:dyDescent="0.2">
      <c r="A58" s="12"/>
      <c r="B58" s="12"/>
      <c r="C58" s="12"/>
      <c r="D58" s="12"/>
      <c r="E58" s="12"/>
      <c r="G58" s="5"/>
    </row>
    <row r="59" spans="1:7" ht="18.75" customHeight="1" x14ac:dyDescent="0.2">
      <c r="A59" s="12"/>
      <c r="B59" s="12"/>
      <c r="C59" s="12"/>
      <c r="D59" s="12"/>
      <c r="E59" s="12"/>
      <c r="G59" s="5"/>
    </row>
    <row r="60" spans="1:7" ht="18.75" customHeight="1" x14ac:dyDescent="0.2">
      <c r="A60" s="12"/>
      <c r="B60" s="12"/>
      <c r="C60" s="12"/>
      <c r="D60" s="12"/>
      <c r="E60" s="12"/>
      <c r="G60" s="5"/>
    </row>
    <row r="61" spans="1:7" ht="18.75" customHeight="1" x14ac:dyDescent="0.2">
      <c r="A61" s="12"/>
      <c r="B61" s="12"/>
      <c r="C61" s="12"/>
      <c r="D61" s="12"/>
      <c r="E61" s="12"/>
      <c r="G61" s="5"/>
    </row>
    <row r="62" spans="1:7" ht="18.75" customHeight="1" x14ac:dyDescent="0.2">
      <c r="A62" s="12"/>
      <c r="B62" s="12"/>
      <c r="C62" s="12"/>
      <c r="D62" s="12"/>
      <c r="E62" s="12"/>
      <c r="G62" s="5"/>
    </row>
    <row r="63" spans="1:7" ht="18.75" customHeight="1" x14ac:dyDescent="0.2">
      <c r="A63" s="12"/>
      <c r="B63" s="12"/>
      <c r="C63" s="12"/>
      <c r="D63" s="12"/>
      <c r="E63" s="12"/>
      <c r="G63" s="5"/>
    </row>
    <row r="64" spans="1:7" ht="18.75" customHeight="1" x14ac:dyDescent="0.2">
      <c r="A64" s="12"/>
      <c r="B64" s="12"/>
      <c r="C64" s="12"/>
      <c r="D64" s="12"/>
      <c r="E64" s="12"/>
      <c r="G64" s="12"/>
    </row>
    <row r="65" spans="1:7" ht="18.75" customHeight="1" x14ac:dyDescent="0.2">
      <c r="A65" s="12"/>
      <c r="B65" s="12"/>
      <c r="C65" s="12"/>
      <c r="D65" s="12"/>
      <c r="E65" s="12"/>
      <c r="G65" s="12"/>
    </row>
    <row r="66" spans="1:7" ht="18.75" customHeight="1" x14ac:dyDescent="0.2">
      <c r="A66" s="12"/>
      <c r="B66" s="12"/>
      <c r="C66" s="12"/>
      <c r="D66" s="12"/>
      <c r="E66" s="12"/>
      <c r="G66" s="12"/>
    </row>
    <row r="67" spans="1:7" ht="18.75" customHeight="1" x14ac:dyDescent="0.2">
      <c r="A67" s="12"/>
      <c r="B67" s="12"/>
      <c r="C67" s="12"/>
      <c r="D67" s="12"/>
      <c r="E67" s="12"/>
      <c r="G67" s="12"/>
    </row>
    <row r="68" spans="1:7" ht="18.75" customHeight="1" x14ac:dyDescent="0.2">
      <c r="A68" s="12"/>
      <c r="B68" s="12"/>
      <c r="C68" s="12"/>
      <c r="D68" s="12"/>
      <c r="E68" s="12"/>
      <c r="G68" s="12"/>
    </row>
    <row r="69" spans="1:7" ht="18.75" customHeight="1" x14ac:dyDescent="0.2">
      <c r="A69" s="12"/>
      <c r="B69" s="12"/>
      <c r="C69" s="12"/>
      <c r="D69" s="12"/>
      <c r="E69" s="12"/>
      <c r="G69" s="12"/>
    </row>
    <row r="70" spans="1:7" ht="18.75" customHeight="1" x14ac:dyDescent="0.2">
      <c r="A70" s="12"/>
      <c r="B70" s="12"/>
      <c r="C70" s="12"/>
      <c r="D70" s="12"/>
      <c r="E70" s="12"/>
      <c r="G70" s="12"/>
    </row>
    <row r="71" spans="1:7" ht="18.75" customHeight="1" x14ac:dyDescent="0.2">
      <c r="A71" s="12"/>
      <c r="B71" s="12"/>
      <c r="C71" s="12"/>
      <c r="D71" s="12"/>
      <c r="E71" s="12"/>
      <c r="G71" s="12"/>
    </row>
    <row r="72" spans="1:7" ht="18.75" customHeight="1" x14ac:dyDescent="0.2">
      <c r="A72" s="12"/>
      <c r="B72" s="12"/>
      <c r="C72" s="12"/>
      <c r="D72" s="12"/>
      <c r="E72" s="12"/>
      <c r="G72" s="12"/>
    </row>
    <row r="73" spans="1:7" ht="18.75" customHeight="1" x14ac:dyDescent="0.2">
      <c r="A73" s="12"/>
      <c r="B73" s="12"/>
      <c r="C73" s="12"/>
      <c r="D73" s="12"/>
      <c r="E73" s="12"/>
      <c r="G73" s="12"/>
    </row>
    <row r="74" spans="1:7" ht="18.75" customHeight="1" x14ac:dyDescent="0.2">
      <c r="A74" s="12"/>
      <c r="B74" s="12"/>
      <c r="C74" s="12"/>
      <c r="D74" s="12"/>
      <c r="E74" s="12"/>
      <c r="G74" s="12"/>
    </row>
    <row r="75" spans="1:7" ht="18.75" customHeight="1" x14ac:dyDescent="0.2">
      <c r="A75" s="12"/>
      <c r="B75" s="12"/>
      <c r="C75" s="12"/>
      <c r="D75" s="12"/>
      <c r="E75" s="12"/>
      <c r="G75" s="12"/>
    </row>
    <row r="76" spans="1:7" ht="18.75" customHeight="1" x14ac:dyDescent="0.2">
      <c r="A76" s="12"/>
      <c r="B76" s="12"/>
      <c r="C76" s="12"/>
      <c r="D76" s="12"/>
      <c r="E76" s="12"/>
      <c r="G76" s="12"/>
    </row>
    <row r="77" spans="1:7" ht="18.75" customHeight="1" x14ac:dyDescent="0.2">
      <c r="A77" s="12"/>
      <c r="B77" s="12"/>
      <c r="C77" s="12"/>
      <c r="D77" s="12"/>
      <c r="E77" s="12"/>
      <c r="G77" s="12"/>
    </row>
    <row r="78" spans="1:7" ht="18.75" customHeight="1" x14ac:dyDescent="0.2">
      <c r="A78" s="12"/>
      <c r="B78" s="12"/>
      <c r="C78" s="12"/>
      <c r="D78" s="12"/>
      <c r="E78" s="12"/>
      <c r="G78" s="12"/>
    </row>
    <row r="79" spans="1:7" ht="18.75" customHeight="1" x14ac:dyDescent="0.2">
      <c r="A79" s="12"/>
      <c r="B79" s="12"/>
      <c r="C79" s="12"/>
      <c r="D79" s="12"/>
      <c r="E79" s="12"/>
      <c r="G79" s="12"/>
    </row>
    <row r="80" spans="1:7" ht="18.75" customHeight="1" x14ac:dyDescent="0.2">
      <c r="A80" s="12"/>
      <c r="B80" s="12"/>
      <c r="C80" s="12"/>
      <c r="D80" s="12"/>
      <c r="E80" s="12"/>
      <c r="G80" s="12"/>
    </row>
    <row r="81" spans="1:7" ht="18.75" customHeight="1" x14ac:dyDescent="0.2">
      <c r="A81" s="12"/>
      <c r="B81" s="12"/>
      <c r="C81" s="12"/>
      <c r="D81" s="12"/>
      <c r="E81" s="12"/>
      <c r="G81" s="12"/>
    </row>
    <row r="82" spans="1:7" ht="18.75" customHeight="1" x14ac:dyDescent="0.2">
      <c r="A82" s="12"/>
      <c r="B82" s="12"/>
      <c r="C82" s="12"/>
      <c r="D82" s="12"/>
      <c r="E82" s="12"/>
      <c r="G82" s="12"/>
    </row>
    <row r="83" spans="1:7" ht="18.75" customHeight="1" x14ac:dyDescent="0.2">
      <c r="A83" s="12"/>
      <c r="B83" s="12"/>
      <c r="C83" s="12"/>
      <c r="D83" s="12"/>
      <c r="E83" s="12"/>
      <c r="G83" s="12"/>
    </row>
    <row r="84" spans="1:7" ht="18.75" customHeight="1" x14ac:dyDescent="0.2">
      <c r="A84" s="12"/>
      <c r="B84" s="12"/>
      <c r="C84" s="12"/>
      <c r="D84" s="12"/>
      <c r="E84" s="12"/>
      <c r="G84" s="12"/>
    </row>
    <row r="85" spans="1:7" ht="18.75" customHeight="1" x14ac:dyDescent="0.2">
      <c r="A85" s="12"/>
      <c r="B85" s="12"/>
      <c r="C85" s="12"/>
      <c r="D85" s="12"/>
      <c r="E85" s="12"/>
      <c r="G85" s="12"/>
    </row>
    <row r="86" spans="1:7" ht="18.75" customHeight="1" x14ac:dyDescent="0.2">
      <c r="C86" s="5"/>
      <c r="D86" s="5"/>
      <c r="G86" s="5"/>
    </row>
    <row r="87" spans="1:7" ht="18.75" customHeight="1" x14ac:dyDescent="0.2">
      <c r="C87" s="5"/>
      <c r="D87" s="5"/>
      <c r="G87" s="5"/>
    </row>
    <row r="88" spans="1:7" ht="18.75" customHeight="1" x14ac:dyDescent="0.2">
      <c r="C88" s="5"/>
      <c r="D88" s="5"/>
      <c r="G88" s="5"/>
    </row>
    <row r="89" spans="1:7" ht="18.75" customHeight="1" x14ac:dyDescent="0.2">
      <c r="C89" s="5"/>
      <c r="D89" s="5"/>
      <c r="G89" s="5"/>
    </row>
    <row r="90" spans="1:7" ht="18.75" customHeight="1" x14ac:dyDescent="0.2">
      <c r="C90" s="5"/>
      <c r="D90" s="5"/>
      <c r="G90" s="5"/>
    </row>
    <row r="91" spans="1:7" ht="18.75" customHeight="1" x14ac:dyDescent="0.2">
      <c r="C91" s="5"/>
      <c r="D91" s="5"/>
      <c r="G91" s="5"/>
    </row>
    <row r="92" spans="1:7" ht="18.75" customHeight="1" x14ac:dyDescent="0.2">
      <c r="C92" s="5"/>
      <c r="D92" s="5"/>
      <c r="G92" s="5"/>
    </row>
    <row r="93" spans="1:7" ht="18.75" customHeight="1" x14ac:dyDescent="0.2">
      <c r="C93" s="5"/>
      <c r="D93" s="5"/>
      <c r="G93" s="5"/>
    </row>
    <row r="94" spans="1:7" ht="18.75" customHeight="1" x14ac:dyDescent="0.2">
      <c r="C94" s="5"/>
      <c r="D94" s="5"/>
      <c r="G94" s="5"/>
    </row>
    <row r="95" spans="1:7" ht="18.75" customHeight="1" x14ac:dyDescent="0.2">
      <c r="C95" s="5"/>
      <c r="D95" s="5"/>
      <c r="G95" s="5"/>
    </row>
    <row r="96" spans="1:7" ht="18.75" customHeight="1" x14ac:dyDescent="0.2">
      <c r="C96" s="5"/>
      <c r="D96" s="5"/>
      <c r="G96" s="5"/>
    </row>
    <row r="97" spans="3:7" ht="18.75" customHeight="1" x14ac:dyDescent="0.2">
      <c r="C97" s="5"/>
      <c r="D97" s="5"/>
      <c r="G97" s="5"/>
    </row>
    <row r="98" spans="3:7" ht="18.75" customHeight="1" x14ac:dyDescent="0.2">
      <c r="C98" s="5"/>
      <c r="D98" s="5"/>
      <c r="G98" s="5"/>
    </row>
    <row r="99" spans="3:7" ht="18.75" customHeight="1" x14ac:dyDescent="0.2">
      <c r="C99" s="5"/>
      <c r="D99" s="5"/>
      <c r="G99" s="5"/>
    </row>
    <row r="100" spans="3:7" ht="18.75" customHeight="1" x14ac:dyDescent="0.2">
      <c r="C100" s="5"/>
      <c r="D100" s="5"/>
      <c r="G100" s="5"/>
    </row>
    <row r="101" spans="3:7" ht="18.75" customHeight="1" x14ac:dyDescent="0.2">
      <c r="C101" s="5"/>
      <c r="D101" s="5"/>
      <c r="G101" s="5"/>
    </row>
    <row r="102" spans="3:7" ht="18.75" customHeight="1" x14ac:dyDescent="0.2">
      <c r="C102" s="5"/>
      <c r="D102" s="5"/>
      <c r="G102" s="5"/>
    </row>
    <row r="103" spans="3:7" ht="18.75" customHeight="1" x14ac:dyDescent="0.2">
      <c r="C103" s="5"/>
      <c r="D103" s="5"/>
      <c r="G103" s="5"/>
    </row>
    <row r="104" spans="3:7" ht="18.75" customHeight="1" x14ac:dyDescent="0.2">
      <c r="C104" s="5"/>
      <c r="D104" s="5"/>
      <c r="G104" s="5"/>
    </row>
    <row r="105" spans="3:7" ht="18.75" customHeight="1" x14ac:dyDescent="0.2">
      <c r="C105" s="5"/>
      <c r="D105" s="5"/>
      <c r="G105" s="5"/>
    </row>
    <row r="106" spans="3:7" ht="18.75" customHeight="1" x14ac:dyDescent="0.2">
      <c r="C106" s="5"/>
      <c r="D106" s="5"/>
      <c r="G106" s="5"/>
    </row>
    <row r="107" spans="3:7" ht="18.75" customHeight="1" x14ac:dyDescent="0.2">
      <c r="C107" s="5"/>
      <c r="D107" s="5"/>
      <c r="G107" s="5"/>
    </row>
    <row r="108" spans="3:7" ht="18.75" customHeight="1" x14ac:dyDescent="0.2">
      <c r="C108" s="5"/>
      <c r="D108" s="5"/>
      <c r="G108" s="5"/>
    </row>
    <row r="109" spans="3:7" ht="18.75" customHeight="1" x14ac:dyDescent="0.2">
      <c r="C109" s="5"/>
      <c r="D109" s="5"/>
      <c r="G109" s="5"/>
    </row>
    <row r="110" spans="3:7" ht="18.75" customHeight="1" x14ac:dyDescent="0.2">
      <c r="C110" s="5"/>
      <c r="D110" s="5"/>
      <c r="G110" s="5"/>
    </row>
    <row r="111" spans="3:7" ht="18.75" customHeight="1" x14ac:dyDescent="0.2">
      <c r="C111" s="5"/>
      <c r="D111" s="5"/>
      <c r="G111" s="5"/>
    </row>
    <row r="112" spans="3:7" ht="18.75" customHeight="1" x14ac:dyDescent="0.2">
      <c r="C112" s="5"/>
      <c r="D112" s="5"/>
      <c r="G112" s="5"/>
    </row>
    <row r="113" spans="3:7" ht="18.75" customHeight="1" x14ac:dyDescent="0.2">
      <c r="C113" s="5"/>
      <c r="D113" s="5"/>
      <c r="G113" s="5"/>
    </row>
    <row r="114" spans="3:7" ht="18.75" customHeight="1" x14ac:dyDescent="0.2">
      <c r="C114" s="5"/>
      <c r="D114" s="5"/>
      <c r="G114" s="5"/>
    </row>
    <row r="115" spans="3:7" ht="18.75" customHeight="1" x14ac:dyDescent="0.2">
      <c r="C115" s="5"/>
      <c r="D115" s="5"/>
      <c r="G115" s="5"/>
    </row>
    <row r="116" spans="3:7" ht="18.75" customHeight="1" x14ac:dyDescent="0.2">
      <c r="C116" s="5"/>
      <c r="D116" s="5"/>
      <c r="G116" s="5"/>
    </row>
    <row r="117" spans="3:7" ht="18.75" customHeight="1" x14ac:dyDescent="0.2">
      <c r="C117" s="5"/>
      <c r="D117" s="5"/>
      <c r="G117" s="5"/>
    </row>
    <row r="118" spans="3:7" ht="18.75" customHeight="1" x14ac:dyDescent="0.2">
      <c r="C118" s="5"/>
      <c r="D118" s="5"/>
      <c r="G118" s="5"/>
    </row>
    <row r="119" spans="3:7" ht="18.75" customHeight="1" x14ac:dyDescent="0.2">
      <c r="C119" s="5"/>
      <c r="D119" s="5"/>
      <c r="G119" s="5"/>
    </row>
    <row r="120" spans="3:7" ht="18.75" customHeight="1" x14ac:dyDescent="0.2">
      <c r="C120" s="5"/>
      <c r="D120" s="5"/>
      <c r="G120" s="5"/>
    </row>
    <row r="121" spans="3:7" ht="18.75" customHeight="1" x14ac:dyDescent="0.2">
      <c r="C121" s="5"/>
      <c r="D121" s="5"/>
      <c r="G121" s="5"/>
    </row>
    <row r="122" spans="3:7" ht="18.75" customHeight="1" x14ac:dyDescent="0.2">
      <c r="C122" s="5"/>
      <c r="D122" s="5"/>
      <c r="G122" s="5"/>
    </row>
    <row r="123" spans="3:7" ht="18.75" customHeight="1" x14ac:dyDescent="0.2">
      <c r="C123" s="5"/>
      <c r="D123" s="5"/>
      <c r="G123" s="5"/>
    </row>
    <row r="124" spans="3:7" ht="18.75" customHeight="1" x14ac:dyDescent="0.2">
      <c r="C124" s="5"/>
      <c r="D124" s="5"/>
      <c r="G124" s="5"/>
    </row>
    <row r="125" spans="3:7" ht="18.75" customHeight="1" x14ac:dyDescent="0.2">
      <c r="C125" s="5"/>
      <c r="D125" s="5"/>
      <c r="G125" s="5"/>
    </row>
    <row r="126" spans="3:7" ht="18.75" customHeight="1" x14ac:dyDescent="0.2">
      <c r="C126" s="5"/>
      <c r="D126" s="5"/>
      <c r="G126" s="5"/>
    </row>
    <row r="127" spans="3:7" ht="18.75" customHeight="1" x14ac:dyDescent="0.2">
      <c r="C127" s="5"/>
      <c r="D127" s="5"/>
      <c r="G127" s="5"/>
    </row>
    <row r="128" spans="3:7" ht="18.75" customHeight="1" x14ac:dyDescent="0.2">
      <c r="C128" s="5"/>
      <c r="D128" s="5"/>
      <c r="G128" s="5"/>
    </row>
    <row r="129" spans="3:7" ht="18.75" customHeight="1" x14ac:dyDescent="0.2">
      <c r="C129" s="5"/>
      <c r="D129" s="5"/>
      <c r="G129" s="5"/>
    </row>
    <row r="130" spans="3:7" ht="18.75" customHeight="1" x14ac:dyDescent="0.2">
      <c r="C130" s="5"/>
      <c r="D130" s="5"/>
      <c r="G130" s="5"/>
    </row>
    <row r="131" spans="3:7" ht="18.75" customHeight="1" x14ac:dyDescent="0.2">
      <c r="C131" s="5"/>
      <c r="D131" s="5"/>
      <c r="G131" s="5"/>
    </row>
    <row r="132" spans="3:7" ht="18.75" customHeight="1" x14ac:dyDescent="0.2">
      <c r="C132" s="5"/>
      <c r="D132" s="5"/>
      <c r="G132" s="5"/>
    </row>
    <row r="133" spans="3:7" ht="18.75" customHeight="1" x14ac:dyDescent="0.2">
      <c r="C133" s="5"/>
      <c r="D133" s="5"/>
      <c r="G133" s="5"/>
    </row>
    <row r="134" spans="3:7" ht="18.75" customHeight="1" x14ac:dyDescent="0.2">
      <c r="C134" s="5"/>
      <c r="D134" s="5"/>
      <c r="G134" s="5"/>
    </row>
    <row r="135" spans="3:7" ht="18.75" customHeight="1" x14ac:dyDescent="0.2">
      <c r="C135" s="5"/>
      <c r="D135" s="5"/>
      <c r="G135" s="5"/>
    </row>
    <row r="136" spans="3:7" ht="18.75" customHeight="1" x14ac:dyDescent="0.2">
      <c r="C136" s="5"/>
      <c r="D136" s="5"/>
      <c r="G136" s="5"/>
    </row>
    <row r="137" spans="3:7" ht="18.75" customHeight="1" x14ac:dyDescent="0.2">
      <c r="C137" s="5"/>
      <c r="D137" s="5"/>
      <c r="G137" s="5"/>
    </row>
    <row r="138" spans="3:7" ht="18.75" customHeight="1" x14ac:dyDescent="0.2">
      <c r="C138" s="5"/>
      <c r="D138" s="5"/>
      <c r="G138" s="5"/>
    </row>
    <row r="139" spans="3:7" ht="18.75" customHeight="1" x14ac:dyDescent="0.2">
      <c r="C139" s="5"/>
      <c r="D139" s="5"/>
      <c r="G139" s="5"/>
    </row>
    <row r="140" spans="3:7" ht="18.75" customHeight="1" x14ac:dyDescent="0.2">
      <c r="C140" s="5"/>
      <c r="D140" s="5"/>
      <c r="G140" s="5"/>
    </row>
    <row r="141" spans="3:7" ht="18.75" customHeight="1" x14ac:dyDescent="0.2">
      <c r="C141" s="5"/>
      <c r="D141" s="5"/>
      <c r="G141" s="5"/>
    </row>
    <row r="142" spans="3:7" ht="18.75" customHeight="1" x14ac:dyDescent="0.2">
      <c r="C142" s="5"/>
      <c r="D142" s="5"/>
      <c r="G142" s="5"/>
    </row>
    <row r="143" spans="3:7" ht="18.75" customHeight="1" x14ac:dyDescent="0.2">
      <c r="C143" s="5"/>
      <c r="D143" s="5"/>
      <c r="G143" s="5"/>
    </row>
    <row r="144" spans="3:7" ht="18.75" customHeight="1" x14ac:dyDescent="0.2">
      <c r="C144" s="5"/>
      <c r="D144" s="5"/>
      <c r="G144" s="5"/>
    </row>
    <row r="145" spans="3:7" ht="18.75" customHeight="1" x14ac:dyDescent="0.2">
      <c r="C145" s="5"/>
      <c r="D145" s="5"/>
      <c r="G145" s="5"/>
    </row>
    <row r="146" spans="3:7" ht="18.75" customHeight="1" x14ac:dyDescent="0.2">
      <c r="C146" s="5"/>
      <c r="D146" s="5"/>
      <c r="G146" s="5"/>
    </row>
    <row r="147" spans="3:7" ht="18.75" customHeight="1" x14ac:dyDescent="0.2">
      <c r="C147" s="5"/>
      <c r="D147" s="5"/>
      <c r="G147" s="5"/>
    </row>
    <row r="148" spans="3:7" ht="18.75" customHeight="1" x14ac:dyDescent="0.2">
      <c r="C148" s="5"/>
      <c r="D148" s="5"/>
      <c r="G148" s="5"/>
    </row>
    <row r="149" spans="3:7" ht="18.75" customHeight="1" x14ac:dyDescent="0.2">
      <c r="C149" s="5"/>
      <c r="D149" s="5"/>
      <c r="G149" s="5"/>
    </row>
    <row r="150" spans="3:7" ht="18.75" customHeight="1" x14ac:dyDescent="0.2">
      <c r="C150" s="5"/>
      <c r="D150" s="5"/>
      <c r="G150" s="5"/>
    </row>
    <row r="151" spans="3:7" ht="18.75" customHeight="1" x14ac:dyDescent="0.2">
      <c r="C151" s="5"/>
      <c r="D151" s="5"/>
      <c r="G151" s="5"/>
    </row>
    <row r="152" spans="3:7" ht="18.75" customHeight="1" x14ac:dyDescent="0.2">
      <c r="C152" s="5"/>
      <c r="D152" s="5"/>
      <c r="G152" s="5"/>
    </row>
    <row r="153" spans="3:7" ht="18.75" customHeight="1" x14ac:dyDescent="0.2">
      <c r="C153" s="5"/>
      <c r="D153" s="5"/>
      <c r="G153" s="5"/>
    </row>
    <row r="154" spans="3:7" ht="18.75" customHeight="1" x14ac:dyDescent="0.2">
      <c r="C154" s="5"/>
      <c r="D154" s="5"/>
      <c r="G154" s="5"/>
    </row>
    <row r="155" spans="3:7" ht="18.75" customHeight="1" x14ac:dyDescent="0.2">
      <c r="C155" s="5"/>
      <c r="D155" s="5"/>
      <c r="G155" s="5"/>
    </row>
    <row r="156" spans="3:7" ht="18.75" customHeight="1" x14ac:dyDescent="0.2">
      <c r="C156" s="5"/>
      <c r="D156" s="5"/>
      <c r="G156" s="5"/>
    </row>
    <row r="157" spans="3:7" ht="18.75" customHeight="1" x14ac:dyDescent="0.2">
      <c r="C157" s="5"/>
      <c r="D157" s="5"/>
      <c r="G157" s="5"/>
    </row>
    <row r="158" spans="3:7" ht="18.75" customHeight="1" x14ac:dyDescent="0.2">
      <c r="C158" s="5"/>
      <c r="D158" s="5"/>
      <c r="G158" s="5"/>
    </row>
    <row r="159" spans="3:7" ht="18.75" customHeight="1" x14ac:dyDescent="0.2">
      <c r="C159" s="5"/>
      <c r="D159" s="5"/>
      <c r="G159" s="5"/>
    </row>
    <row r="160" spans="3:7" ht="18.75" customHeight="1" x14ac:dyDescent="0.2">
      <c r="C160" s="5"/>
      <c r="D160" s="5"/>
      <c r="G160" s="5"/>
    </row>
    <row r="161" spans="3:7" ht="18.75" customHeight="1" x14ac:dyDescent="0.2">
      <c r="C161" s="5"/>
      <c r="D161" s="5"/>
      <c r="G161" s="5"/>
    </row>
    <row r="162" spans="3:7" ht="18.75" customHeight="1" x14ac:dyDescent="0.2">
      <c r="C162" s="5"/>
      <c r="D162" s="5"/>
      <c r="G162" s="5"/>
    </row>
    <row r="163" spans="3:7" ht="18.75" customHeight="1" x14ac:dyDescent="0.2">
      <c r="C163" s="5"/>
      <c r="D163" s="5"/>
      <c r="G163" s="5"/>
    </row>
    <row r="164" spans="3:7" ht="18.75" customHeight="1" x14ac:dyDescent="0.2">
      <c r="C164" s="5"/>
      <c r="D164" s="5"/>
      <c r="G164" s="5"/>
    </row>
    <row r="165" spans="3:7" ht="18.75" customHeight="1" x14ac:dyDescent="0.2">
      <c r="C165" s="5"/>
      <c r="D165" s="5"/>
      <c r="G165" s="5"/>
    </row>
    <row r="166" spans="3:7" ht="18.75" customHeight="1" x14ac:dyDescent="0.2">
      <c r="C166" s="5"/>
      <c r="D166" s="5"/>
      <c r="G166" s="5"/>
    </row>
    <row r="167" spans="3:7" ht="18.75" customHeight="1" x14ac:dyDescent="0.2">
      <c r="C167" s="5"/>
      <c r="D167" s="5"/>
      <c r="G167" s="5"/>
    </row>
    <row r="168" spans="3:7" ht="18.75" customHeight="1" x14ac:dyDescent="0.2">
      <c r="C168" s="5"/>
      <c r="D168" s="5"/>
      <c r="G168" s="5"/>
    </row>
    <row r="169" spans="3:7" ht="18.75" customHeight="1" x14ac:dyDescent="0.2">
      <c r="C169" s="5"/>
      <c r="D169" s="5"/>
      <c r="G169" s="5"/>
    </row>
    <row r="170" spans="3:7" ht="18.75" customHeight="1" x14ac:dyDescent="0.2">
      <c r="C170" s="5"/>
      <c r="D170" s="5"/>
      <c r="G170" s="5"/>
    </row>
    <row r="171" spans="3:7" ht="18.75" customHeight="1" x14ac:dyDescent="0.2">
      <c r="C171" s="5"/>
      <c r="D171" s="5"/>
      <c r="G171" s="5"/>
    </row>
    <row r="172" spans="3:7" ht="18.75" customHeight="1" x14ac:dyDescent="0.2">
      <c r="C172" s="5"/>
      <c r="D172" s="5"/>
      <c r="G172" s="5"/>
    </row>
    <row r="173" spans="3:7" ht="18.75" customHeight="1" x14ac:dyDescent="0.2">
      <c r="C173" s="5"/>
      <c r="D173" s="5"/>
      <c r="G173" s="5"/>
    </row>
    <row r="174" spans="3:7" ht="18.75" customHeight="1" x14ac:dyDescent="0.2">
      <c r="C174" s="5"/>
      <c r="D174" s="5"/>
      <c r="G174" s="5"/>
    </row>
    <row r="175" spans="3:7" ht="18.75" customHeight="1" x14ac:dyDescent="0.2">
      <c r="C175" s="5"/>
      <c r="D175" s="5"/>
      <c r="G175" s="5"/>
    </row>
    <row r="176" spans="3:7" ht="18.75" customHeight="1" x14ac:dyDescent="0.2">
      <c r="C176" s="5"/>
      <c r="D176" s="5"/>
      <c r="G176" s="5"/>
    </row>
    <row r="177" spans="3:7" ht="18.75" customHeight="1" x14ac:dyDescent="0.2">
      <c r="C177" s="5"/>
      <c r="D177" s="5"/>
      <c r="G177" s="5"/>
    </row>
    <row r="178" spans="3:7" ht="18.75" customHeight="1" x14ac:dyDescent="0.2">
      <c r="C178" s="5"/>
      <c r="D178" s="5"/>
      <c r="G178" s="5"/>
    </row>
    <row r="179" spans="3:7" ht="18.75" customHeight="1" x14ac:dyDescent="0.2">
      <c r="C179" s="5"/>
      <c r="D179" s="5"/>
      <c r="G179" s="5"/>
    </row>
    <row r="180" spans="3:7" ht="18.75" customHeight="1" x14ac:dyDescent="0.2">
      <c r="C180" s="5"/>
      <c r="D180" s="5"/>
      <c r="G180" s="5"/>
    </row>
    <row r="181" spans="3:7" ht="18.75" customHeight="1" x14ac:dyDescent="0.2">
      <c r="C181" s="5"/>
      <c r="D181" s="5"/>
      <c r="G181" s="5"/>
    </row>
    <row r="182" spans="3:7" ht="18.75" customHeight="1" x14ac:dyDescent="0.2">
      <c r="C182" s="5"/>
      <c r="D182" s="5"/>
      <c r="G182" s="5"/>
    </row>
    <row r="183" spans="3:7" ht="18.75" customHeight="1" x14ac:dyDescent="0.2">
      <c r="C183" s="5"/>
      <c r="D183" s="5"/>
      <c r="G183" s="5"/>
    </row>
    <row r="184" spans="3:7" ht="18.75" customHeight="1" x14ac:dyDescent="0.2">
      <c r="C184" s="5"/>
      <c r="D184" s="5"/>
      <c r="G184" s="5"/>
    </row>
  </sheetData>
  <mergeCells count="1">
    <mergeCell ref="A1:E1"/>
  </mergeCells>
  <phoneticPr fontId="18" type="noConversion"/>
  <printOptions horizontalCentered="1"/>
  <pageMargins left="0.75" right="0.75" top="0.75" bottom="0.75" header="0.5" footer="0.5"/>
  <pageSetup scale="90"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defaultColWidth="9.140625" defaultRowHeight="16.5" x14ac:dyDescent="0.3"/>
  <cols>
    <col min="1" max="1" width="40.140625" style="107" bestFit="1" customWidth="1"/>
    <col min="2" max="4" width="10.7109375" style="107" hidden="1" customWidth="1"/>
    <col min="5" max="8" width="11.28515625" style="107" hidden="1" customWidth="1"/>
    <col min="9" max="9" width="0" style="107" hidden="1" customWidth="1"/>
    <col min="10" max="16384" width="9.140625" style="107"/>
  </cols>
  <sheetData>
    <row r="1" spans="1:12" ht="22.5" customHeight="1" x14ac:dyDescent="0.3">
      <c r="A1" s="407" t="s">
        <v>29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x14ac:dyDescent="0.3">
      <c r="A2" s="255"/>
      <c r="B2" s="105">
        <v>2010</v>
      </c>
      <c r="C2" s="105">
        <v>2013</v>
      </c>
      <c r="D2" s="105">
        <v>2014</v>
      </c>
      <c r="E2" s="105">
        <v>2015</v>
      </c>
      <c r="F2" s="105">
        <v>2016</v>
      </c>
      <c r="G2" s="105">
        <v>2017</v>
      </c>
      <c r="H2" s="105">
        <v>2018</v>
      </c>
      <c r="I2" s="105">
        <v>2019</v>
      </c>
      <c r="J2" s="105">
        <v>2020</v>
      </c>
      <c r="K2" s="105">
        <v>2021</v>
      </c>
      <c r="L2" s="105">
        <v>2022</v>
      </c>
    </row>
    <row r="3" spans="1:12" x14ac:dyDescent="0.3">
      <c r="A3" s="255"/>
      <c r="B3" s="105"/>
      <c r="C3" s="105"/>
      <c r="D3" s="105"/>
      <c r="E3" s="105"/>
      <c r="F3" s="543"/>
      <c r="G3" s="543"/>
      <c r="H3" s="543"/>
      <c r="I3" s="543"/>
      <c r="J3" s="543"/>
      <c r="K3" s="543"/>
      <c r="L3" s="543"/>
    </row>
    <row r="4" spans="1:12" x14ac:dyDescent="0.3">
      <c r="A4" s="48" t="s">
        <v>572</v>
      </c>
      <c r="B4" s="57">
        <v>200</v>
      </c>
      <c r="C4" s="49">
        <v>100</v>
      </c>
      <c r="D4" s="49">
        <v>100</v>
      </c>
      <c r="E4" s="49">
        <v>100</v>
      </c>
      <c r="F4" s="529">
        <v>100</v>
      </c>
      <c r="G4" s="529">
        <v>100</v>
      </c>
      <c r="H4" s="529">
        <v>100</v>
      </c>
      <c r="I4" s="529">
        <v>200</v>
      </c>
      <c r="J4" s="529">
        <v>200</v>
      </c>
      <c r="K4" s="529">
        <v>200</v>
      </c>
      <c r="L4" s="529">
        <v>200</v>
      </c>
    </row>
    <row r="5" spans="1:12" x14ac:dyDescent="0.3">
      <c r="A5" s="155" t="s">
        <v>235</v>
      </c>
      <c r="B5" s="49">
        <v>4000</v>
      </c>
      <c r="C5" s="101">
        <v>5000</v>
      </c>
      <c r="D5" s="101">
        <v>5400</v>
      </c>
      <c r="E5" s="101">
        <f>5400+1800</f>
        <v>7200</v>
      </c>
      <c r="F5" s="522">
        <f>5400+2000</f>
        <v>7400</v>
      </c>
      <c r="G5" s="522">
        <f>5400+2000</f>
        <v>7400</v>
      </c>
      <c r="H5" s="522">
        <f>5400+4000+2000</f>
        <v>11400</v>
      </c>
      <c r="I5" s="522">
        <f>5400+4000+3000</f>
        <v>12400</v>
      </c>
      <c r="J5" s="522">
        <f>5400+4000+3000</f>
        <v>12400</v>
      </c>
      <c r="K5" s="522">
        <f>5400+4000+3000</f>
        <v>12400</v>
      </c>
      <c r="L5" s="522">
        <f>5400+4000+3000</f>
        <v>12400</v>
      </c>
    </row>
    <row r="6" spans="1:12" x14ac:dyDescent="0.3">
      <c r="A6" s="48" t="s">
        <v>347</v>
      </c>
      <c r="B6" s="57">
        <v>1500</v>
      </c>
      <c r="C6" s="49">
        <v>400</v>
      </c>
      <c r="D6" s="49">
        <v>400</v>
      </c>
      <c r="E6" s="49">
        <v>400</v>
      </c>
      <c r="F6" s="529">
        <v>600</v>
      </c>
      <c r="G6" s="529">
        <v>800</v>
      </c>
      <c r="H6" s="529">
        <v>800</v>
      </c>
      <c r="I6" s="529">
        <v>500</v>
      </c>
      <c r="J6" s="529">
        <v>500</v>
      </c>
      <c r="K6" s="529">
        <v>500</v>
      </c>
      <c r="L6" s="529">
        <v>500</v>
      </c>
    </row>
    <row r="7" spans="1:12" x14ac:dyDescent="0.3">
      <c r="A7" s="48" t="s">
        <v>573</v>
      </c>
      <c r="B7" s="57">
        <v>600</v>
      </c>
      <c r="C7" s="49">
        <v>300</v>
      </c>
      <c r="D7" s="49">
        <v>300</v>
      </c>
      <c r="E7" s="49">
        <v>350</v>
      </c>
      <c r="F7" s="529">
        <v>400</v>
      </c>
      <c r="G7" s="529">
        <v>400</v>
      </c>
      <c r="H7" s="529">
        <v>400</v>
      </c>
      <c r="I7" s="529">
        <v>300</v>
      </c>
      <c r="J7" s="529">
        <v>300</v>
      </c>
      <c r="K7" s="529">
        <v>300</v>
      </c>
      <c r="L7" s="529">
        <v>300</v>
      </c>
    </row>
    <row r="8" spans="1:12" x14ac:dyDescent="0.3">
      <c r="A8" s="35" t="s">
        <v>574</v>
      </c>
      <c r="B8" s="57">
        <v>800</v>
      </c>
      <c r="C8" s="57">
        <v>800</v>
      </c>
      <c r="D8" s="57">
        <f>8*250</f>
        <v>2000</v>
      </c>
      <c r="E8" s="57">
        <v>2000</v>
      </c>
      <c r="F8" s="530">
        <v>2000</v>
      </c>
      <c r="G8" s="530">
        <v>2000</v>
      </c>
      <c r="H8" s="530">
        <v>2000</v>
      </c>
      <c r="I8" s="530">
        <v>2500</v>
      </c>
      <c r="J8" s="530">
        <v>2500</v>
      </c>
      <c r="K8" s="530">
        <v>2500</v>
      </c>
      <c r="L8" s="530">
        <v>1200</v>
      </c>
    </row>
    <row r="9" spans="1:12" x14ac:dyDescent="0.3">
      <c r="A9" s="48" t="s">
        <v>575</v>
      </c>
      <c r="B9" s="57">
        <v>1000</v>
      </c>
      <c r="C9" s="49">
        <v>500</v>
      </c>
      <c r="D9" s="49">
        <v>500</v>
      </c>
      <c r="E9" s="49">
        <v>600</v>
      </c>
      <c r="F9" s="529">
        <v>600</v>
      </c>
      <c r="G9" s="529">
        <v>1200</v>
      </c>
      <c r="H9" s="529">
        <v>1200</v>
      </c>
      <c r="I9" s="529">
        <v>1400</v>
      </c>
      <c r="J9" s="529">
        <f>91*60</f>
        <v>5460</v>
      </c>
      <c r="K9" s="529">
        <f>91*30</f>
        <v>2730</v>
      </c>
      <c r="L9" s="529">
        <f>91*30</f>
        <v>2730</v>
      </c>
    </row>
    <row r="10" spans="1:12" x14ac:dyDescent="0.3">
      <c r="A10" s="35" t="s">
        <v>348</v>
      </c>
      <c r="B10" s="57">
        <v>11000</v>
      </c>
      <c r="C10" s="57">
        <v>10400</v>
      </c>
      <c r="D10" s="57">
        <f>8*1500</f>
        <v>12000</v>
      </c>
      <c r="E10" s="57">
        <f>1478.25*8</f>
        <v>11826</v>
      </c>
      <c r="F10" s="530">
        <f>1500*8</f>
        <v>12000</v>
      </c>
      <c r="G10" s="530">
        <f>1500*35</f>
        <v>52500</v>
      </c>
      <c r="H10" s="530">
        <f>1500*5</f>
        <v>7500</v>
      </c>
      <c r="I10" s="530">
        <f>1600*6</f>
        <v>9600</v>
      </c>
      <c r="J10" s="530">
        <f>1500*6</f>
        <v>9000</v>
      </c>
      <c r="K10" s="530">
        <f>1500*6</f>
        <v>9000</v>
      </c>
      <c r="L10" s="530">
        <f>1500*6</f>
        <v>9000</v>
      </c>
    </row>
    <row r="11" spans="1:12" x14ac:dyDescent="0.3">
      <c r="A11" s="48" t="s">
        <v>576</v>
      </c>
      <c r="B11" s="49">
        <v>1200</v>
      </c>
      <c r="C11" s="49">
        <v>1500</v>
      </c>
      <c r="D11" s="49">
        <v>1500</v>
      </c>
      <c r="E11" s="49">
        <v>1500</v>
      </c>
      <c r="F11" s="529">
        <v>1500</v>
      </c>
      <c r="G11" s="529">
        <v>2500</v>
      </c>
      <c r="H11" s="529">
        <v>2500</v>
      </c>
      <c r="I11" s="529">
        <v>2500</v>
      </c>
      <c r="J11" s="529">
        <v>2500</v>
      </c>
      <c r="K11" s="529">
        <v>2500</v>
      </c>
      <c r="L11" s="529">
        <v>2500</v>
      </c>
    </row>
    <row r="12" spans="1:12" x14ac:dyDescent="0.3">
      <c r="A12" s="35" t="s">
        <v>349</v>
      </c>
      <c r="B12" s="57">
        <v>11000</v>
      </c>
      <c r="C12" s="57">
        <v>6800</v>
      </c>
      <c r="D12" s="57">
        <f>8*900</f>
        <v>7200</v>
      </c>
      <c r="E12" s="57">
        <f>930.6*8</f>
        <v>7444.8</v>
      </c>
      <c r="F12" s="530">
        <f>950*8</f>
        <v>7600</v>
      </c>
      <c r="G12" s="530">
        <f>900*35</f>
        <v>31500</v>
      </c>
      <c r="H12" s="530">
        <f>900*5</f>
        <v>4500</v>
      </c>
      <c r="I12" s="530">
        <f>1000*6</f>
        <v>6000</v>
      </c>
      <c r="J12" s="530">
        <f>900*6</f>
        <v>5400</v>
      </c>
      <c r="K12" s="530">
        <f>900*6</f>
        <v>5400</v>
      </c>
      <c r="L12" s="530">
        <f>900*6</f>
        <v>5400</v>
      </c>
    </row>
    <row r="13" spans="1:12" x14ac:dyDescent="0.3">
      <c r="A13" s="48" t="s">
        <v>577</v>
      </c>
      <c r="B13" s="57">
        <v>400</v>
      </c>
      <c r="C13" s="49">
        <v>200</v>
      </c>
      <c r="D13" s="49">
        <v>200</v>
      </c>
      <c r="E13" s="49">
        <v>100</v>
      </c>
      <c r="F13" s="529">
        <v>150</v>
      </c>
      <c r="G13" s="529">
        <v>150</v>
      </c>
      <c r="H13" s="529">
        <v>150</v>
      </c>
      <c r="I13" s="529">
        <v>300</v>
      </c>
      <c r="J13" s="529">
        <v>300</v>
      </c>
      <c r="K13" s="529">
        <v>300</v>
      </c>
      <c r="L13" s="529">
        <v>0</v>
      </c>
    </row>
    <row r="14" spans="1:12" x14ac:dyDescent="0.3">
      <c r="A14" s="48" t="s">
        <v>350</v>
      </c>
      <c r="B14" s="58">
        <v>200</v>
      </c>
      <c r="C14" s="49">
        <v>400</v>
      </c>
      <c r="D14" s="49">
        <f>15*40</f>
        <v>600</v>
      </c>
      <c r="E14" s="49">
        <v>600</v>
      </c>
      <c r="F14" s="529">
        <v>600</v>
      </c>
      <c r="G14" s="529">
        <v>600</v>
      </c>
      <c r="H14" s="529">
        <v>600</v>
      </c>
      <c r="I14" s="529">
        <v>600</v>
      </c>
      <c r="J14" s="529">
        <v>600</v>
      </c>
      <c r="K14" s="529">
        <v>600</v>
      </c>
      <c r="L14" s="529">
        <v>600</v>
      </c>
    </row>
    <row r="15" spans="1:12" x14ac:dyDescent="0.3">
      <c r="A15" s="35" t="s">
        <v>351</v>
      </c>
      <c r="B15" s="57">
        <v>250</v>
      </c>
      <c r="C15" s="57">
        <v>500</v>
      </c>
      <c r="D15" s="57">
        <f>15*40.3</f>
        <v>604.5</v>
      </c>
      <c r="E15" s="57">
        <f>40.3*15</f>
        <v>604.5</v>
      </c>
      <c r="F15" s="530">
        <f>42*15</f>
        <v>630</v>
      </c>
      <c r="G15" s="530">
        <f>50*15</f>
        <v>750</v>
      </c>
      <c r="H15" s="530">
        <f>50*15</f>
        <v>750</v>
      </c>
      <c r="I15" s="530">
        <f>90*10</f>
        <v>900</v>
      </c>
      <c r="J15" s="530">
        <f>90*10</f>
        <v>900</v>
      </c>
      <c r="K15" s="530">
        <f>90*10</f>
        <v>900</v>
      </c>
      <c r="L15" s="530">
        <f>90*10</f>
        <v>900</v>
      </c>
    </row>
    <row r="16" spans="1:12" x14ac:dyDescent="0.3">
      <c r="A16" s="48" t="s">
        <v>352</v>
      </c>
      <c r="B16" s="58">
        <v>800</v>
      </c>
      <c r="C16" s="49"/>
      <c r="D16" s="49"/>
      <c r="E16" s="49"/>
      <c r="F16" s="529">
        <v>0</v>
      </c>
      <c r="G16" s="529">
        <v>2000</v>
      </c>
      <c r="H16" s="529">
        <v>2000</v>
      </c>
      <c r="I16" s="529">
        <v>2000</v>
      </c>
      <c r="J16" s="529">
        <v>2000</v>
      </c>
      <c r="K16" s="529">
        <v>1000</v>
      </c>
      <c r="L16" s="529">
        <v>600</v>
      </c>
    </row>
    <row r="17" spans="1:12" hidden="1" x14ac:dyDescent="0.3">
      <c r="A17" s="35" t="s">
        <v>353</v>
      </c>
      <c r="B17" s="57">
        <v>2000</v>
      </c>
      <c r="C17" s="57">
        <v>2000</v>
      </c>
      <c r="D17" s="57">
        <f>15*101.25</f>
        <v>1518.75</v>
      </c>
      <c r="E17" s="57">
        <f>239*10</f>
        <v>2390</v>
      </c>
      <c r="F17" s="530">
        <f>245*10</f>
        <v>2450</v>
      </c>
      <c r="G17" s="530">
        <f>250*10</f>
        <v>2500</v>
      </c>
      <c r="H17" s="530">
        <f>250*15</f>
        <v>3750</v>
      </c>
      <c r="I17" s="530">
        <v>0</v>
      </c>
      <c r="J17" s="530">
        <v>0</v>
      </c>
      <c r="K17" s="530">
        <v>0</v>
      </c>
      <c r="L17" s="530">
        <v>0</v>
      </c>
    </row>
    <row r="18" spans="1:12" x14ac:dyDescent="0.3">
      <c r="A18" s="48" t="s">
        <v>571</v>
      </c>
      <c r="B18" s="58">
        <v>300</v>
      </c>
      <c r="C18" s="49">
        <v>500</v>
      </c>
      <c r="D18" s="49">
        <v>500</v>
      </c>
      <c r="E18" s="49">
        <v>800</v>
      </c>
      <c r="F18" s="529">
        <v>800</v>
      </c>
      <c r="G18" s="529">
        <v>800</v>
      </c>
      <c r="H18" s="529">
        <v>800</v>
      </c>
      <c r="I18" s="529">
        <v>1000</v>
      </c>
      <c r="J18" s="529">
        <v>1200</v>
      </c>
      <c r="K18" s="529">
        <v>1400</v>
      </c>
      <c r="L18" s="529">
        <v>1400</v>
      </c>
    </row>
    <row r="19" spans="1:12" hidden="1" x14ac:dyDescent="0.3">
      <c r="A19" s="35" t="s">
        <v>354</v>
      </c>
      <c r="B19" s="57">
        <v>2000</v>
      </c>
      <c r="C19" s="57">
        <v>2000</v>
      </c>
      <c r="D19" s="57">
        <f>15*106.3</f>
        <v>1594.5</v>
      </c>
      <c r="E19" s="57">
        <f>216*10</f>
        <v>2160</v>
      </c>
      <c r="F19" s="530">
        <f>216*10</f>
        <v>2160</v>
      </c>
      <c r="G19" s="530">
        <f>220*10</f>
        <v>2200</v>
      </c>
      <c r="H19" s="530">
        <f>220*15</f>
        <v>3300</v>
      </c>
      <c r="I19" s="530">
        <v>0</v>
      </c>
      <c r="J19" s="530">
        <v>0</v>
      </c>
      <c r="K19" s="530">
        <v>0</v>
      </c>
      <c r="L19" s="530">
        <v>0</v>
      </c>
    </row>
    <row r="20" spans="1:12" x14ac:dyDescent="0.3">
      <c r="A20" s="35" t="s">
        <v>606</v>
      </c>
      <c r="B20" s="57"/>
      <c r="C20" s="57"/>
      <c r="D20" s="57"/>
      <c r="E20" s="57"/>
      <c r="F20" s="530"/>
      <c r="G20" s="530"/>
      <c r="H20" s="530"/>
      <c r="I20" s="530"/>
      <c r="J20" s="530">
        <f>132*32</f>
        <v>4224</v>
      </c>
      <c r="K20" s="530">
        <v>0</v>
      </c>
      <c r="L20" s="530">
        <v>0</v>
      </c>
    </row>
    <row r="21" spans="1:12" x14ac:dyDescent="0.3">
      <c r="A21" s="48" t="s">
        <v>355</v>
      </c>
      <c r="B21" s="49">
        <v>200</v>
      </c>
      <c r="C21" s="49">
        <v>500</v>
      </c>
      <c r="D21" s="49">
        <v>500</v>
      </c>
      <c r="E21" s="49">
        <v>500</v>
      </c>
      <c r="F21" s="529">
        <v>400</v>
      </c>
      <c r="G21" s="529">
        <f>85*24</f>
        <v>2040</v>
      </c>
      <c r="H21" s="529">
        <f>85*12</f>
        <v>1020</v>
      </c>
      <c r="I21" s="529">
        <f>85*12</f>
        <v>1020</v>
      </c>
      <c r="J21" s="529">
        <f>85*12</f>
        <v>1020</v>
      </c>
      <c r="K21" s="529">
        <f>85*6</f>
        <v>510</v>
      </c>
      <c r="L21" s="529">
        <f>85*4</f>
        <v>340</v>
      </c>
    </row>
    <row r="22" spans="1:12" x14ac:dyDescent="0.3">
      <c r="A22" s="663" t="s">
        <v>452</v>
      </c>
      <c r="B22" s="649"/>
      <c r="C22" s="649"/>
      <c r="D22" s="649"/>
      <c r="E22" s="649"/>
      <c r="F22" s="560">
        <v>1500</v>
      </c>
      <c r="G22" s="560">
        <v>300</v>
      </c>
      <c r="H22" s="560">
        <v>300</v>
      </c>
      <c r="I22" s="560">
        <v>300</v>
      </c>
      <c r="J22" s="560">
        <v>300</v>
      </c>
      <c r="K22" s="560">
        <v>300</v>
      </c>
      <c r="L22" s="560">
        <v>300</v>
      </c>
    </row>
    <row r="23" spans="1:12" hidden="1" x14ac:dyDescent="0.3">
      <c r="A23" s="663" t="s">
        <v>463</v>
      </c>
      <c r="B23" s="649"/>
      <c r="C23" s="649"/>
      <c r="D23" s="649"/>
      <c r="E23" s="649"/>
      <c r="F23" s="560">
        <v>7500</v>
      </c>
      <c r="G23" s="560">
        <v>0</v>
      </c>
      <c r="H23" s="560"/>
      <c r="I23" s="560"/>
      <c r="J23" s="560"/>
      <c r="K23" s="560"/>
      <c r="L23" s="560"/>
    </row>
    <row r="24" spans="1:12" x14ac:dyDescent="0.3">
      <c r="A24" s="663" t="s">
        <v>604</v>
      </c>
      <c r="B24" s="649"/>
      <c r="C24" s="649"/>
      <c r="D24" s="649"/>
      <c r="E24" s="649"/>
      <c r="F24" s="560"/>
      <c r="G24" s="560"/>
      <c r="H24" s="560"/>
      <c r="I24" s="560"/>
      <c r="J24" s="560">
        <f>90*4</f>
        <v>360</v>
      </c>
      <c r="K24" s="560">
        <v>0</v>
      </c>
      <c r="L24" s="560">
        <v>0</v>
      </c>
    </row>
    <row r="25" spans="1:12" x14ac:dyDescent="0.3">
      <c r="A25" s="663" t="s">
        <v>603</v>
      </c>
      <c r="B25" s="649"/>
      <c r="C25" s="649"/>
      <c r="D25" s="649"/>
      <c r="E25" s="649"/>
      <c r="F25" s="560"/>
      <c r="G25" s="560"/>
      <c r="H25" s="560"/>
      <c r="I25" s="560"/>
      <c r="J25" s="560">
        <f>90*4</f>
        <v>360</v>
      </c>
      <c r="K25" s="560">
        <v>0</v>
      </c>
      <c r="L25" s="560">
        <v>0</v>
      </c>
    </row>
    <row r="26" spans="1:12" x14ac:dyDescent="0.3">
      <c r="A26" s="663" t="s">
        <v>506</v>
      </c>
      <c r="B26" s="649"/>
      <c r="C26" s="649"/>
      <c r="D26" s="649"/>
      <c r="E26" s="649"/>
      <c r="F26" s="560"/>
      <c r="G26" s="560"/>
      <c r="H26" s="560"/>
      <c r="I26" s="560">
        <f>(290*5)+(290*5)+(195*2)</f>
        <v>3290</v>
      </c>
      <c r="J26" s="560">
        <f>(290*5)+(290*5)+(195*2)</f>
        <v>3290</v>
      </c>
      <c r="K26" s="560">
        <f>(290*5)+(290*5)+(195*2)</f>
        <v>3290</v>
      </c>
      <c r="L26" s="560">
        <f>(290*5)+(290*5)+(195*2)</f>
        <v>3290</v>
      </c>
    </row>
    <row r="27" spans="1:12" x14ac:dyDescent="0.3">
      <c r="A27" s="172"/>
      <c r="B27" s="664"/>
      <c r="C27" s="350"/>
      <c r="D27" s="350"/>
      <c r="E27" s="350"/>
      <c r="F27" s="468">
        <v>0</v>
      </c>
      <c r="G27" s="468">
        <v>0</v>
      </c>
      <c r="H27" s="468">
        <f>(270*29)+(270*29)+(290*2)+(185*2)</f>
        <v>16610</v>
      </c>
      <c r="I27" s="468"/>
      <c r="J27" s="468"/>
      <c r="K27" s="468"/>
      <c r="L27" s="468"/>
    </row>
    <row r="28" spans="1:12" x14ac:dyDescent="0.3">
      <c r="A28" s="643" t="s">
        <v>130</v>
      </c>
      <c r="B28" s="665">
        <f t="shared" ref="B28:H28" si="0">SUM(B3:B27)</f>
        <v>37450</v>
      </c>
      <c r="C28" s="666">
        <f t="shared" si="0"/>
        <v>31900</v>
      </c>
      <c r="D28" s="667">
        <f t="shared" si="0"/>
        <v>34917.75</v>
      </c>
      <c r="E28" s="667">
        <f t="shared" si="0"/>
        <v>38575.300000000003</v>
      </c>
      <c r="F28" s="668">
        <f t="shared" si="0"/>
        <v>48390</v>
      </c>
      <c r="G28" s="669">
        <f>SUM(G3:G27)</f>
        <v>109740</v>
      </c>
      <c r="H28" s="670">
        <f t="shared" si="0"/>
        <v>59680</v>
      </c>
      <c r="I28" s="670">
        <f>SUM(I3:I27)</f>
        <v>44810</v>
      </c>
      <c r="J28" s="670">
        <f>SUM(J3:J27)</f>
        <v>52814</v>
      </c>
      <c r="K28" s="670">
        <f>SUM(K3:K27)</f>
        <v>43830</v>
      </c>
      <c r="L28" s="670">
        <f>SUM(L3:L27)</f>
        <v>41660</v>
      </c>
    </row>
    <row r="29" spans="1:12" ht="18" customHeight="1" x14ac:dyDescent="0.3"/>
    <row r="30" spans="1:12" x14ac:dyDescent="0.3">
      <c r="A30" s="132"/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defaultColWidth="9.140625" defaultRowHeight="18.75" customHeight="1" x14ac:dyDescent="0.3"/>
  <cols>
    <col min="1" max="1" width="48.7109375" style="93" bestFit="1" customWidth="1"/>
    <col min="2" max="4" width="10.5703125" style="24" hidden="1" customWidth="1"/>
    <col min="5" max="8" width="10.85546875" style="24" hidden="1" customWidth="1"/>
    <col min="9" max="9" width="0" style="24" hidden="1" customWidth="1"/>
    <col min="10" max="16384" width="9.140625" style="24"/>
  </cols>
  <sheetData>
    <row r="1" spans="1:12" s="42" customFormat="1" ht="18.95" customHeight="1" x14ac:dyDescent="0.3">
      <c r="A1" s="175" t="s">
        <v>391</v>
      </c>
      <c r="B1" s="149"/>
      <c r="C1" s="149"/>
      <c r="D1" s="149"/>
      <c r="E1" s="165"/>
      <c r="F1" s="165"/>
      <c r="G1" s="165"/>
      <c r="H1" s="165"/>
      <c r="I1" s="165"/>
      <c r="J1" s="165"/>
      <c r="K1" s="165"/>
      <c r="L1" s="165"/>
    </row>
    <row r="2" spans="1:12" ht="18.95" customHeight="1" x14ac:dyDescent="0.3">
      <c r="A2" s="94"/>
      <c r="B2" s="94"/>
      <c r="C2" s="94"/>
      <c r="D2" s="94"/>
      <c r="E2" s="44"/>
      <c r="F2" s="44"/>
      <c r="G2" s="44"/>
      <c r="H2" s="44"/>
      <c r="I2" s="44"/>
      <c r="J2" s="44"/>
      <c r="K2" s="44"/>
      <c r="L2" s="44"/>
    </row>
    <row r="3" spans="1:12" s="42" customFormat="1" ht="18.95" customHeight="1" x14ac:dyDescent="0.3">
      <c r="A3" s="37" t="s">
        <v>86</v>
      </c>
      <c r="B3" s="37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s="119" customFormat="1" ht="18.95" customHeight="1" x14ac:dyDescent="0.3">
      <c r="A4" s="97"/>
      <c r="B4" s="113"/>
      <c r="C4" s="178"/>
      <c r="D4" s="178"/>
      <c r="E4" s="178"/>
      <c r="F4" s="547"/>
      <c r="G4" s="547"/>
      <c r="H4" s="547"/>
      <c r="I4" s="547"/>
      <c r="J4" s="547"/>
      <c r="K4" s="547"/>
      <c r="L4" s="547"/>
    </row>
    <row r="5" spans="1:12" s="42" customFormat="1" ht="18.95" customHeight="1" x14ac:dyDescent="0.3">
      <c r="A5" s="50" t="s">
        <v>587</v>
      </c>
      <c r="B5" s="58">
        <v>200</v>
      </c>
      <c r="C5" s="307">
        <v>900</v>
      </c>
      <c r="D5" s="307">
        <v>800</v>
      </c>
      <c r="E5" s="307">
        <v>800</v>
      </c>
      <c r="F5" s="565">
        <v>800</v>
      </c>
      <c r="G5" s="565">
        <v>1500</v>
      </c>
      <c r="H5" s="565">
        <v>1500</v>
      </c>
      <c r="I5" s="565">
        <v>1500</v>
      </c>
      <c r="J5" s="565">
        <v>1500</v>
      </c>
      <c r="K5" s="565">
        <v>1500</v>
      </c>
      <c r="L5" s="565">
        <v>1500</v>
      </c>
    </row>
    <row r="6" spans="1:12" ht="18.95" customHeight="1" x14ac:dyDescent="0.3">
      <c r="A6" s="50" t="s">
        <v>588</v>
      </c>
      <c r="B6" s="38">
        <v>125</v>
      </c>
      <c r="C6" s="307">
        <v>100</v>
      </c>
      <c r="D6" s="307">
        <v>0</v>
      </c>
      <c r="E6" s="307">
        <v>0</v>
      </c>
      <c r="F6" s="565">
        <v>225</v>
      </c>
      <c r="G6" s="565">
        <v>225</v>
      </c>
      <c r="H6" s="565">
        <v>225</v>
      </c>
      <c r="I6" s="565">
        <v>300</v>
      </c>
      <c r="J6" s="565">
        <v>300</v>
      </c>
      <c r="K6" s="565">
        <v>300</v>
      </c>
      <c r="L6" s="565">
        <v>400</v>
      </c>
    </row>
    <row r="7" spans="1:12" ht="18.95" customHeight="1" x14ac:dyDescent="0.3">
      <c r="A7" s="50" t="s">
        <v>589</v>
      </c>
      <c r="B7" s="58">
        <v>125</v>
      </c>
      <c r="C7" s="60">
        <v>1000</v>
      </c>
      <c r="D7" s="60">
        <v>2500</v>
      </c>
      <c r="E7" s="60">
        <v>2500</v>
      </c>
      <c r="F7" s="566">
        <v>2500</v>
      </c>
      <c r="G7" s="566">
        <v>2500</v>
      </c>
      <c r="H7" s="566">
        <v>2500</v>
      </c>
      <c r="I7" s="566">
        <v>2500</v>
      </c>
      <c r="J7" s="566">
        <v>3500</v>
      </c>
      <c r="K7" s="566">
        <v>3500</v>
      </c>
      <c r="L7" s="566">
        <v>3500</v>
      </c>
    </row>
    <row r="8" spans="1:12" ht="18.95" customHeight="1" x14ac:dyDescent="0.3">
      <c r="A8" s="59" t="s">
        <v>578</v>
      </c>
      <c r="B8" s="156">
        <v>1000</v>
      </c>
      <c r="C8" s="57">
        <v>2500</v>
      </c>
      <c r="D8" s="57">
        <v>1500</v>
      </c>
      <c r="E8" s="57">
        <v>1500</v>
      </c>
      <c r="F8" s="530">
        <v>1000</v>
      </c>
      <c r="G8" s="530">
        <v>3500</v>
      </c>
      <c r="H8" s="530">
        <v>3500</v>
      </c>
      <c r="I8" s="530">
        <v>3500</v>
      </c>
      <c r="J8" s="530">
        <v>4500</v>
      </c>
      <c r="K8" s="530">
        <v>4500</v>
      </c>
      <c r="L8" s="530">
        <v>6000</v>
      </c>
    </row>
    <row r="9" spans="1:12" ht="18.95" customHeight="1" x14ac:dyDescent="0.3">
      <c r="A9" s="360" t="s">
        <v>579</v>
      </c>
      <c r="B9" s="103"/>
      <c r="C9" s="102">
        <v>1200</v>
      </c>
      <c r="D9" s="102">
        <v>1200</v>
      </c>
      <c r="E9" s="102">
        <v>1800</v>
      </c>
      <c r="F9" s="531">
        <v>1500</v>
      </c>
      <c r="G9" s="531">
        <v>3500</v>
      </c>
      <c r="H9" s="531">
        <v>3500</v>
      </c>
      <c r="I9" s="531">
        <v>3500</v>
      </c>
      <c r="J9" s="531">
        <v>4000</v>
      </c>
      <c r="K9" s="531">
        <v>4000</v>
      </c>
      <c r="L9" s="531">
        <v>4000</v>
      </c>
    </row>
    <row r="10" spans="1:12" ht="18.95" customHeight="1" x14ac:dyDescent="0.3">
      <c r="A10" s="360" t="s">
        <v>518</v>
      </c>
      <c r="B10" s="103"/>
      <c r="C10" s="102">
        <v>9327</v>
      </c>
      <c r="D10" s="102">
        <v>10000</v>
      </c>
      <c r="E10" s="102">
        <v>0</v>
      </c>
      <c r="F10" s="531">
        <v>0</v>
      </c>
      <c r="G10" s="531">
        <f>3200*4</f>
        <v>12800</v>
      </c>
      <c r="H10" s="531">
        <v>0</v>
      </c>
      <c r="I10" s="531">
        <f>3500*3</f>
        <v>10500</v>
      </c>
      <c r="J10" s="531">
        <v>0</v>
      </c>
      <c r="K10" s="531">
        <f>3600*2</f>
        <v>7200</v>
      </c>
      <c r="L10" s="531">
        <v>3600</v>
      </c>
    </row>
    <row r="11" spans="1:12" ht="18.95" customHeight="1" x14ac:dyDescent="0.3">
      <c r="A11" s="360" t="s">
        <v>610</v>
      </c>
      <c r="B11" s="103"/>
      <c r="C11" s="102"/>
      <c r="D11" s="102"/>
      <c r="E11" s="102"/>
      <c r="F11" s="531"/>
      <c r="G11" s="531"/>
      <c r="H11" s="531">
        <v>0</v>
      </c>
      <c r="I11" s="531">
        <v>0</v>
      </c>
      <c r="J11" s="531">
        <f>3800*3</f>
        <v>11400</v>
      </c>
      <c r="K11" s="531">
        <v>0</v>
      </c>
      <c r="L11" s="531">
        <v>0</v>
      </c>
    </row>
    <row r="12" spans="1:12" ht="18.95" customHeight="1" x14ac:dyDescent="0.3">
      <c r="A12" s="395"/>
      <c r="B12" s="350"/>
      <c r="C12" s="591"/>
      <c r="D12" s="591"/>
      <c r="E12" s="591"/>
      <c r="F12" s="660"/>
      <c r="G12" s="660"/>
      <c r="H12" s="660"/>
      <c r="I12" s="660"/>
      <c r="J12" s="660"/>
      <c r="K12" s="660"/>
      <c r="L12" s="660"/>
    </row>
    <row r="13" spans="1:12" ht="18.95" customHeight="1" x14ac:dyDescent="0.3">
      <c r="A13" s="179" t="s">
        <v>84</v>
      </c>
      <c r="B13" s="661">
        <f>SUM(B4:B12)</f>
        <v>1450</v>
      </c>
      <c r="C13" s="661">
        <f>SUM(C4:C12)</f>
        <v>15027</v>
      </c>
      <c r="D13" s="661">
        <f>SUM(D4:D12)</f>
        <v>16000</v>
      </c>
      <c r="E13" s="661">
        <f t="shared" ref="E13:J13" si="0">SUM(E5:E12)</f>
        <v>6600</v>
      </c>
      <c r="F13" s="662">
        <f t="shared" si="0"/>
        <v>6025</v>
      </c>
      <c r="G13" s="662">
        <f t="shared" si="0"/>
        <v>24025</v>
      </c>
      <c r="H13" s="662">
        <f t="shared" si="0"/>
        <v>11225</v>
      </c>
      <c r="I13" s="662">
        <f t="shared" si="0"/>
        <v>21800</v>
      </c>
      <c r="J13" s="662">
        <f t="shared" si="0"/>
        <v>25200</v>
      </c>
      <c r="K13" s="662">
        <f>SUM(K5:K12)</f>
        <v>21000</v>
      </c>
      <c r="L13" s="662">
        <f>SUM(L5:L12)</f>
        <v>19000</v>
      </c>
    </row>
    <row r="14" spans="1:12" ht="18.75" customHeight="1" x14ac:dyDescent="0.3">
      <c r="A14" s="107"/>
    </row>
    <row r="15" spans="1:12" ht="18.75" customHeight="1" x14ac:dyDescent="0.3">
      <c r="A15" s="107"/>
    </row>
    <row r="17" spans="1:1" ht="18.75" customHeight="1" x14ac:dyDescent="0.3">
      <c r="A17" s="107"/>
    </row>
    <row r="18" spans="1:1" ht="18.75" customHeight="1" x14ac:dyDescent="0.3">
      <c r="A18" s="107"/>
    </row>
    <row r="19" spans="1:1" ht="18.75" customHeight="1" x14ac:dyDescent="0.3">
      <c r="A19" s="107"/>
    </row>
    <row r="20" spans="1:1" ht="18.75" customHeight="1" x14ac:dyDescent="0.3">
      <c r="A20" s="107"/>
    </row>
  </sheetData>
  <phoneticPr fontId="18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ColWidth="9.140625" defaultRowHeight="18.75" customHeight="1" x14ac:dyDescent="0.3"/>
  <cols>
    <col min="1" max="1" width="29" style="93" bestFit="1" customWidth="1"/>
    <col min="2" max="4" width="10.7109375" style="24" hidden="1" customWidth="1"/>
    <col min="5" max="8" width="11" style="24" hidden="1" customWidth="1"/>
    <col min="9" max="9" width="0" style="24" hidden="1" customWidth="1"/>
    <col min="10" max="16384" width="9.140625" style="24"/>
  </cols>
  <sheetData>
    <row r="1" spans="1:12" s="42" customFormat="1" ht="18.75" customHeight="1" x14ac:dyDescent="0.3">
      <c r="A1" s="175" t="s">
        <v>393</v>
      </c>
      <c r="B1" s="149"/>
      <c r="C1" s="149"/>
      <c r="D1" s="149"/>
      <c r="E1" s="177"/>
      <c r="F1" s="177"/>
      <c r="G1" s="177"/>
      <c r="H1" s="177"/>
      <c r="I1" s="177"/>
      <c r="J1" s="177"/>
      <c r="K1" s="177"/>
      <c r="L1" s="177"/>
    </row>
    <row r="2" spans="1:12" ht="18.75" customHeight="1" x14ac:dyDescent="0.3">
      <c r="A2" s="94"/>
      <c r="B2" s="94"/>
      <c r="C2" s="94"/>
      <c r="D2" s="94"/>
      <c r="E2" s="45"/>
      <c r="F2" s="45"/>
      <c r="G2" s="45"/>
      <c r="H2" s="45"/>
      <c r="I2" s="45"/>
      <c r="J2" s="45"/>
      <c r="K2" s="45"/>
      <c r="L2" s="45"/>
    </row>
    <row r="3" spans="1:12" s="42" customFormat="1" ht="18.75" customHeight="1" x14ac:dyDescent="0.3">
      <c r="A3" s="37" t="s">
        <v>86</v>
      </c>
      <c r="B3" s="37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s="119" customFormat="1" ht="18.75" customHeight="1" x14ac:dyDescent="0.3">
      <c r="A4" s="97"/>
      <c r="B4" s="97"/>
      <c r="C4" s="180"/>
      <c r="D4" s="180"/>
      <c r="E4" s="180"/>
      <c r="F4" s="548"/>
      <c r="G4" s="548"/>
      <c r="H4" s="548"/>
      <c r="I4" s="548"/>
      <c r="J4" s="548"/>
      <c r="K4" s="548"/>
      <c r="L4" s="548"/>
    </row>
    <row r="5" spans="1:12" s="42" customFormat="1" ht="18.75" customHeight="1" x14ac:dyDescent="0.3">
      <c r="A5" s="34" t="s">
        <v>580</v>
      </c>
      <c r="B5" s="38">
        <v>400</v>
      </c>
      <c r="C5" s="32">
        <v>400</v>
      </c>
      <c r="D5" s="32">
        <v>400</v>
      </c>
      <c r="E5" s="32">
        <v>400</v>
      </c>
      <c r="F5" s="534">
        <v>500</v>
      </c>
      <c r="G5" s="534">
        <v>500</v>
      </c>
      <c r="H5" s="534">
        <v>500</v>
      </c>
      <c r="I5" s="534">
        <v>600</v>
      </c>
      <c r="J5" s="534">
        <v>750</v>
      </c>
      <c r="K5" s="534">
        <v>750</v>
      </c>
      <c r="L5" s="534">
        <v>750</v>
      </c>
    </row>
    <row r="6" spans="1:12" s="42" customFormat="1" ht="18.75" hidden="1" customHeight="1" x14ac:dyDescent="0.3">
      <c r="A6" s="731" t="s">
        <v>158</v>
      </c>
      <c r="B6" s="38">
        <v>200</v>
      </c>
      <c r="C6" s="32"/>
      <c r="D6" s="32"/>
      <c r="E6" s="32"/>
      <c r="F6" s="534"/>
      <c r="G6" s="534"/>
      <c r="H6" s="534"/>
      <c r="I6" s="534"/>
      <c r="J6" s="534"/>
      <c r="K6" s="534"/>
      <c r="L6" s="534"/>
    </row>
    <row r="7" spans="1:12" s="42" customFormat="1" ht="18.75" customHeight="1" x14ac:dyDescent="0.3">
      <c r="A7" s="643" t="s">
        <v>12</v>
      </c>
      <c r="B7" s="38">
        <v>200</v>
      </c>
      <c r="C7" s="58">
        <v>100</v>
      </c>
      <c r="D7" s="58">
        <v>100</v>
      </c>
      <c r="E7" s="58">
        <v>100</v>
      </c>
      <c r="F7" s="466">
        <v>150</v>
      </c>
      <c r="G7" s="466">
        <v>300</v>
      </c>
      <c r="H7" s="466">
        <v>300</v>
      </c>
      <c r="I7" s="466">
        <v>1800</v>
      </c>
      <c r="J7" s="466">
        <v>500</v>
      </c>
      <c r="K7" s="466">
        <v>500</v>
      </c>
      <c r="L7" s="466">
        <v>500</v>
      </c>
    </row>
    <row r="8" spans="1:12" ht="18.75" customHeight="1" x14ac:dyDescent="0.3">
      <c r="A8" s="753" t="s">
        <v>640</v>
      </c>
      <c r="B8" s="50"/>
      <c r="C8" s="32"/>
      <c r="D8" s="32"/>
      <c r="E8" s="32"/>
      <c r="F8" s="534"/>
      <c r="G8" s="534"/>
      <c r="H8" s="534"/>
      <c r="I8" s="534"/>
      <c r="J8" s="534"/>
      <c r="K8" s="534">
        <v>1100</v>
      </c>
      <c r="L8" s="534">
        <v>1200</v>
      </c>
    </row>
    <row r="9" spans="1:12" ht="18.75" customHeight="1" thickBot="1" x14ac:dyDescent="0.35">
      <c r="A9" s="51"/>
      <c r="B9" s="163"/>
      <c r="C9" s="213"/>
      <c r="D9" s="213"/>
      <c r="E9" s="213"/>
      <c r="F9" s="549"/>
      <c r="G9" s="549"/>
      <c r="H9" s="549"/>
      <c r="I9" s="549"/>
      <c r="J9" s="549"/>
      <c r="K9" s="549"/>
      <c r="L9" s="549"/>
    </row>
    <row r="10" spans="1:12" ht="18.75" customHeight="1" thickTop="1" x14ac:dyDescent="0.3">
      <c r="A10" s="99" t="s">
        <v>84</v>
      </c>
      <c r="B10" s="40">
        <f t="shared" ref="B10:H10" si="0">SUM(B4:B9)</f>
        <v>800</v>
      </c>
      <c r="C10" s="40">
        <f t="shared" si="0"/>
        <v>500</v>
      </c>
      <c r="D10" s="181">
        <f t="shared" si="0"/>
        <v>500</v>
      </c>
      <c r="E10" s="181">
        <f t="shared" si="0"/>
        <v>500</v>
      </c>
      <c r="F10" s="550">
        <f t="shared" si="0"/>
        <v>650</v>
      </c>
      <c r="G10" s="550">
        <f>SUM(G4:G9)</f>
        <v>800</v>
      </c>
      <c r="H10" s="550">
        <f t="shared" si="0"/>
        <v>800</v>
      </c>
      <c r="I10" s="550">
        <f>SUM(I4:I9)</f>
        <v>2400</v>
      </c>
      <c r="J10" s="550">
        <f>SUM(J4:J9)</f>
        <v>1250</v>
      </c>
      <c r="K10" s="550">
        <f>SUM(K4:K9)</f>
        <v>2350</v>
      </c>
      <c r="L10" s="550">
        <f>SUM(L4:L9)</f>
        <v>2450</v>
      </c>
    </row>
    <row r="11" spans="1:12" ht="18.75" customHeight="1" x14ac:dyDescent="0.3">
      <c r="A11" s="107"/>
    </row>
    <row r="12" spans="1:12" s="42" customFormat="1" ht="18.75" customHeight="1" x14ac:dyDescent="0.3">
      <c r="A12" s="107"/>
    </row>
    <row r="13" spans="1:12" ht="18.75" customHeight="1" x14ac:dyDescent="0.3">
      <c r="A13" s="107"/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/>
  </sheetViews>
  <sheetFormatPr defaultColWidth="9.140625" defaultRowHeight="18.75" customHeight="1" x14ac:dyDescent="0.2"/>
  <cols>
    <col min="1" max="1" width="27.5703125" style="13" customWidth="1"/>
    <col min="2" max="4" width="11.7109375" style="92" hidden="1" customWidth="1"/>
    <col min="5" max="8" width="11.28515625" style="92" hidden="1" customWidth="1"/>
    <col min="9" max="9" width="0" style="92" hidden="1" customWidth="1"/>
    <col min="10" max="16384" width="9.140625" style="92"/>
  </cols>
  <sheetData>
    <row r="1" spans="1:18" s="141" customFormat="1" ht="18.75" customHeight="1" x14ac:dyDescent="0.3">
      <c r="A1" s="175" t="s">
        <v>182</v>
      </c>
      <c r="B1" s="149"/>
      <c r="C1" s="149"/>
      <c r="D1" s="149"/>
      <c r="E1" s="165"/>
      <c r="F1" s="165"/>
      <c r="G1" s="165"/>
      <c r="H1" s="165"/>
      <c r="I1" s="165"/>
      <c r="J1" s="165"/>
      <c r="K1" s="165"/>
      <c r="L1" s="165"/>
      <c r="M1" s="145"/>
      <c r="N1" s="145"/>
      <c r="O1" s="145"/>
      <c r="P1" s="145"/>
      <c r="Q1" s="145"/>
      <c r="R1" s="145"/>
    </row>
    <row r="2" spans="1:18" ht="18.75" customHeight="1" x14ac:dyDescent="0.3">
      <c r="A2" s="94"/>
      <c r="B2" s="94"/>
      <c r="C2" s="94"/>
      <c r="D2" s="94"/>
      <c r="E2" s="44"/>
      <c r="F2" s="44"/>
      <c r="G2" s="44"/>
      <c r="H2" s="44"/>
      <c r="I2" s="44"/>
      <c r="J2" s="44"/>
      <c r="K2" s="44"/>
      <c r="L2" s="44"/>
      <c r="M2" s="145"/>
      <c r="N2" s="145"/>
      <c r="O2" s="145"/>
      <c r="P2" s="145"/>
      <c r="Q2" s="145"/>
      <c r="R2" s="145"/>
    </row>
    <row r="3" spans="1:18" s="141" customFormat="1" ht="18.75" customHeight="1" x14ac:dyDescent="0.3">
      <c r="A3" s="37" t="s">
        <v>86</v>
      </c>
      <c r="B3" s="37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  <c r="M3" s="145"/>
      <c r="N3" s="145"/>
      <c r="O3" s="145"/>
      <c r="P3" s="145"/>
      <c r="Q3" s="145"/>
      <c r="R3" s="145"/>
    </row>
    <row r="4" spans="1:18" s="142" customFormat="1" ht="18.75" customHeight="1" x14ac:dyDescent="0.3">
      <c r="A4" s="97"/>
      <c r="B4" s="97"/>
      <c r="C4" s="658"/>
      <c r="D4" s="658"/>
      <c r="E4" s="658"/>
      <c r="F4" s="528"/>
      <c r="G4" s="528"/>
      <c r="H4" s="528"/>
      <c r="I4" s="528"/>
      <c r="J4" s="528"/>
      <c r="K4" s="528"/>
      <c r="L4" s="528"/>
      <c r="M4" s="145"/>
      <c r="N4" s="145"/>
      <c r="O4" s="145"/>
      <c r="P4" s="145"/>
      <c r="Q4" s="145"/>
      <c r="R4" s="145"/>
    </row>
    <row r="5" spans="1:18" ht="18.75" customHeight="1" x14ac:dyDescent="0.3">
      <c r="A5" s="50" t="s">
        <v>581</v>
      </c>
      <c r="B5" s="38">
        <v>21000</v>
      </c>
      <c r="C5" s="58">
        <v>21000</v>
      </c>
      <c r="D5" s="58">
        <f>18963</f>
        <v>18963</v>
      </c>
      <c r="E5" s="58">
        <v>19600</v>
      </c>
      <c r="F5" s="467">
        <v>19086</v>
      </c>
      <c r="G5" s="467">
        <v>19500</v>
      </c>
      <c r="H5" s="467">
        <v>20900</v>
      </c>
      <c r="I5" s="467">
        <v>22000</v>
      </c>
      <c r="J5" s="467">
        <f>19998*1.1</f>
        <v>21997.800000000003</v>
      </c>
      <c r="K5" s="467">
        <f>21998*1.1</f>
        <v>24197.800000000003</v>
      </c>
      <c r="L5" s="467">
        <f>27703-2744</f>
        <v>24959</v>
      </c>
      <c r="M5" s="145"/>
      <c r="N5" s="145"/>
      <c r="O5" s="145"/>
      <c r="P5" s="145"/>
      <c r="Q5" s="145"/>
      <c r="R5" s="145"/>
    </row>
    <row r="6" spans="1:18" ht="18.75" customHeight="1" x14ac:dyDescent="0.3">
      <c r="A6" s="244"/>
      <c r="B6" s="39"/>
      <c r="C6" s="103"/>
      <c r="D6" s="103"/>
      <c r="E6" s="103"/>
      <c r="F6" s="556"/>
      <c r="G6" s="556"/>
      <c r="H6" s="556"/>
      <c r="I6" s="556"/>
      <c r="J6" s="556"/>
      <c r="K6" s="556"/>
      <c r="L6" s="556"/>
      <c r="M6" s="145"/>
      <c r="N6" s="145"/>
      <c r="O6" s="145"/>
      <c r="P6" s="145"/>
      <c r="Q6" s="145"/>
      <c r="R6" s="145"/>
    </row>
    <row r="7" spans="1:18" ht="18.75" customHeight="1" thickBot="1" x14ac:dyDescent="0.35">
      <c r="A7" s="244"/>
      <c r="B7" s="39">
        <v>-1327</v>
      </c>
      <c r="C7" s="103"/>
      <c r="D7" s="103"/>
      <c r="E7" s="103"/>
      <c r="F7" s="556"/>
      <c r="G7" s="556"/>
      <c r="H7" s="556"/>
      <c r="I7" s="556"/>
      <c r="J7" s="556"/>
      <c r="K7" s="556"/>
      <c r="L7" s="556"/>
      <c r="M7" s="145"/>
      <c r="N7" s="145"/>
      <c r="O7" s="145"/>
      <c r="P7" s="145"/>
      <c r="Q7" s="145"/>
      <c r="R7" s="145"/>
    </row>
    <row r="8" spans="1:18" ht="18.75" customHeight="1" thickTop="1" x14ac:dyDescent="0.3">
      <c r="A8" s="109" t="s">
        <v>84</v>
      </c>
      <c r="B8" s="659">
        <f>SUM(B4:B7)</f>
        <v>19673</v>
      </c>
      <c r="C8" s="108">
        <f>SUM(C4:C7)</f>
        <v>21000</v>
      </c>
      <c r="D8" s="108">
        <f>SUM(D4:D7)</f>
        <v>18963</v>
      </c>
      <c r="E8" s="108">
        <f t="shared" ref="E8:J8" si="0">SUM(E4:E7)</f>
        <v>19600</v>
      </c>
      <c r="F8" s="557">
        <f t="shared" si="0"/>
        <v>19086</v>
      </c>
      <c r="G8" s="557">
        <f t="shared" si="0"/>
        <v>19500</v>
      </c>
      <c r="H8" s="557">
        <f t="shared" si="0"/>
        <v>20900</v>
      </c>
      <c r="I8" s="557">
        <f t="shared" si="0"/>
        <v>22000</v>
      </c>
      <c r="J8" s="557">
        <f t="shared" si="0"/>
        <v>21997.800000000003</v>
      </c>
      <c r="K8" s="557">
        <f>SUM(K4:K7)</f>
        <v>24197.800000000003</v>
      </c>
      <c r="L8" s="557">
        <f>SUM(L4:L7)</f>
        <v>24959</v>
      </c>
      <c r="M8" s="145"/>
      <c r="N8" s="145"/>
      <c r="O8" s="145"/>
      <c r="P8" s="145"/>
      <c r="Q8" s="145"/>
      <c r="R8" s="145"/>
    </row>
    <row r="9" spans="1:18" ht="18.75" customHeight="1" x14ac:dyDescent="0.3">
      <c r="A9" s="107"/>
      <c r="B9" s="12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</row>
    <row r="10" spans="1:18" ht="18.75" customHeight="1" x14ac:dyDescent="0.3">
      <c r="A10" s="107"/>
      <c r="B10" s="24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</row>
    <row r="11" spans="1:18" ht="18.75" customHeight="1" x14ac:dyDescent="0.2">
      <c r="A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</row>
    <row r="12" spans="1:18" ht="18.75" customHeight="1" x14ac:dyDescent="0.2">
      <c r="A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</row>
    <row r="13" spans="1:18" ht="18.75" customHeight="1" x14ac:dyDescent="0.2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</row>
    <row r="14" spans="1:18" ht="18.75" customHeight="1" x14ac:dyDescent="0.2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</row>
    <row r="15" spans="1:18" ht="18.75" customHeight="1" x14ac:dyDescent="0.2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</row>
    <row r="16" spans="1:18" ht="18.75" customHeight="1" x14ac:dyDescent="0.2">
      <c r="A16" s="145"/>
      <c r="B16" s="145"/>
      <c r="C16" s="145"/>
      <c r="D16" s="145"/>
    </row>
    <row r="17" spans="1:4" ht="18.75" customHeight="1" x14ac:dyDescent="0.2">
      <c r="A17" s="145"/>
      <c r="B17" s="145"/>
      <c r="C17" s="145"/>
      <c r="D17" s="145"/>
    </row>
    <row r="18" spans="1:4" ht="18.75" customHeight="1" x14ac:dyDescent="0.2">
      <c r="A18" s="145"/>
      <c r="B18" s="145"/>
      <c r="C18" s="145"/>
      <c r="D18" s="145"/>
    </row>
    <row r="19" spans="1:4" ht="18.75" customHeight="1" x14ac:dyDescent="0.2">
      <c r="A19" s="145"/>
      <c r="B19" s="145"/>
      <c r="C19" s="145"/>
      <c r="D19" s="145"/>
    </row>
    <row r="20" spans="1:4" ht="18.75" customHeight="1" x14ac:dyDescent="0.2">
      <c r="A20" s="145"/>
      <c r="B20" s="145"/>
      <c r="C20" s="145"/>
      <c r="D20" s="145"/>
    </row>
    <row r="21" spans="1:4" ht="18.75" customHeight="1" x14ac:dyDescent="0.2">
      <c r="A21" s="145"/>
      <c r="B21" s="145"/>
      <c r="C21" s="145"/>
      <c r="D21" s="145"/>
    </row>
    <row r="22" spans="1:4" ht="18.75" customHeight="1" x14ac:dyDescent="0.2">
      <c r="A22" s="145"/>
      <c r="B22" s="145"/>
      <c r="C22" s="145"/>
      <c r="D22" s="145"/>
    </row>
    <row r="23" spans="1:4" ht="18.75" customHeight="1" x14ac:dyDescent="0.2">
      <c r="A23" s="145"/>
      <c r="B23" s="145"/>
      <c r="C23" s="145"/>
      <c r="D23" s="145"/>
    </row>
    <row r="24" spans="1:4" ht="18.75" customHeight="1" x14ac:dyDescent="0.2">
      <c r="A24" s="145"/>
      <c r="B24" s="145"/>
      <c r="C24" s="145"/>
      <c r="D24" s="145"/>
    </row>
    <row r="25" spans="1:4" ht="18.75" customHeight="1" x14ac:dyDescent="0.2">
      <c r="A25" s="145"/>
      <c r="B25" s="145"/>
      <c r="C25" s="145"/>
      <c r="D25" s="145"/>
    </row>
    <row r="26" spans="1:4" ht="18.75" customHeight="1" x14ac:dyDescent="0.2">
      <c r="A26" s="145"/>
      <c r="B26" s="145"/>
      <c r="C26" s="145"/>
      <c r="D26" s="145"/>
    </row>
    <row r="27" spans="1:4" ht="18.75" customHeight="1" x14ac:dyDescent="0.2">
      <c r="A27" s="145"/>
      <c r="B27" s="145"/>
      <c r="C27" s="145"/>
      <c r="D27" s="145"/>
    </row>
    <row r="28" spans="1:4" ht="18.75" customHeight="1" x14ac:dyDescent="0.2">
      <c r="A28" s="145"/>
      <c r="B28" s="145"/>
      <c r="C28" s="145"/>
      <c r="D28" s="145"/>
    </row>
    <row r="29" spans="1:4" ht="18.75" customHeight="1" x14ac:dyDescent="0.2">
      <c r="A29" s="145"/>
      <c r="B29" s="145"/>
      <c r="C29" s="145"/>
      <c r="D29" s="145"/>
    </row>
    <row r="30" spans="1:4" ht="18.75" customHeight="1" x14ac:dyDescent="0.2">
      <c r="A30" s="145"/>
      <c r="B30" s="145"/>
      <c r="C30" s="145"/>
      <c r="D30" s="145"/>
    </row>
    <row r="31" spans="1:4" ht="18.75" customHeight="1" x14ac:dyDescent="0.2">
      <c r="A31" s="145"/>
      <c r="B31" s="145"/>
      <c r="C31" s="145"/>
      <c r="D31" s="145"/>
    </row>
    <row r="32" spans="1:4" ht="18.75" customHeight="1" x14ac:dyDescent="0.2">
      <c r="A32" s="145"/>
      <c r="B32" s="145"/>
      <c r="C32" s="145"/>
      <c r="D32" s="145"/>
    </row>
    <row r="33" spans="1:4" ht="18.75" customHeight="1" x14ac:dyDescent="0.2">
      <c r="A33" s="145"/>
      <c r="B33" s="145"/>
      <c r="C33" s="145"/>
      <c r="D33" s="145"/>
    </row>
    <row r="34" spans="1:4" ht="18.75" customHeight="1" x14ac:dyDescent="0.2">
      <c r="A34" s="145"/>
      <c r="B34" s="145"/>
      <c r="C34" s="145"/>
      <c r="D34" s="145"/>
    </row>
    <row r="35" spans="1:4" ht="18.75" customHeight="1" x14ac:dyDescent="0.2">
      <c r="A35" s="145"/>
      <c r="B35" s="145"/>
      <c r="C35" s="145"/>
      <c r="D35" s="145"/>
    </row>
    <row r="36" spans="1:4" ht="18.75" customHeight="1" x14ac:dyDescent="0.2">
      <c r="A36" s="145"/>
      <c r="B36" s="145"/>
      <c r="C36" s="145"/>
      <c r="D36" s="145"/>
    </row>
    <row r="37" spans="1:4" ht="18.75" customHeight="1" x14ac:dyDescent="0.2">
      <c r="A37" s="145"/>
      <c r="B37" s="145"/>
      <c r="C37" s="145"/>
      <c r="D37" s="145"/>
    </row>
    <row r="38" spans="1:4" ht="18.75" customHeight="1" x14ac:dyDescent="0.2">
      <c r="A38" s="145"/>
      <c r="B38" s="145"/>
      <c r="C38" s="145"/>
      <c r="D38" s="145"/>
    </row>
    <row r="39" spans="1:4" ht="18.75" customHeight="1" x14ac:dyDescent="0.2">
      <c r="A39" s="145"/>
      <c r="B39" s="145"/>
      <c r="C39" s="145"/>
      <c r="D39" s="145"/>
    </row>
    <row r="40" spans="1:4" ht="18.75" customHeight="1" x14ac:dyDescent="0.2">
      <c r="A40" s="145"/>
      <c r="B40" s="145"/>
      <c r="C40" s="145"/>
      <c r="D40" s="145"/>
    </row>
    <row r="41" spans="1:4" ht="18.75" customHeight="1" x14ac:dyDescent="0.2">
      <c r="A41" s="145"/>
      <c r="B41" s="145"/>
      <c r="C41" s="145"/>
      <c r="D41" s="145"/>
    </row>
    <row r="42" spans="1:4" ht="18.75" customHeight="1" x14ac:dyDescent="0.2">
      <c r="A42" s="145"/>
      <c r="B42" s="145"/>
      <c r="C42" s="145"/>
      <c r="D42" s="145"/>
    </row>
    <row r="43" spans="1:4" ht="18.75" customHeight="1" x14ac:dyDescent="0.2">
      <c r="A43" s="145"/>
      <c r="B43" s="145"/>
      <c r="C43" s="145"/>
      <c r="D43" s="145"/>
    </row>
    <row r="44" spans="1:4" ht="18.75" customHeight="1" x14ac:dyDescent="0.2">
      <c r="A44" s="145"/>
      <c r="B44" s="145"/>
      <c r="C44" s="145"/>
      <c r="D44" s="145"/>
    </row>
    <row r="45" spans="1:4" ht="18.75" customHeight="1" x14ac:dyDescent="0.2">
      <c r="A45" s="145"/>
      <c r="B45" s="145"/>
      <c r="C45" s="145"/>
      <c r="D45" s="145"/>
    </row>
    <row r="46" spans="1:4" ht="18.75" customHeight="1" x14ac:dyDescent="0.2">
      <c r="A46" s="145"/>
      <c r="B46" s="145"/>
      <c r="C46" s="145"/>
      <c r="D46" s="145"/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 x14ac:dyDescent="0.2"/>
  <cols>
    <col min="1" max="1" width="57" style="187" customWidth="1"/>
    <col min="2" max="2" width="11.5703125" style="187" hidden="1" customWidth="1"/>
    <col min="3" max="4" width="10.7109375" style="187" hidden="1" customWidth="1"/>
    <col min="5" max="8" width="12.7109375" style="187" hidden="1" customWidth="1"/>
    <col min="9" max="9" width="12.5703125" style="187" hidden="1" customWidth="1"/>
    <col min="10" max="12" width="12.5703125" style="187" bestFit="1" customWidth="1"/>
    <col min="13" max="16384" width="8.85546875" style="187"/>
  </cols>
  <sheetData>
    <row r="1" spans="1:12" s="183" customFormat="1" ht="22.5" customHeight="1" x14ac:dyDescent="0.2">
      <c r="A1" s="463" t="s">
        <v>406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s="185" customFormat="1" ht="25.5" customHeight="1" x14ac:dyDescent="0.2">
      <c r="A2" s="184"/>
      <c r="B2" s="335">
        <v>2010</v>
      </c>
      <c r="C2" s="335">
        <v>2013</v>
      </c>
      <c r="D2" s="452">
        <v>2014</v>
      </c>
      <c r="E2" s="452">
        <v>2015</v>
      </c>
      <c r="F2" s="452">
        <v>2016</v>
      </c>
      <c r="G2" s="452">
        <v>2017</v>
      </c>
      <c r="H2" s="452">
        <v>2018</v>
      </c>
      <c r="I2" s="452">
        <v>2019</v>
      </c>
      <c r="J2" s="452">
        <v>2020</v>
      </c>
      <c r="K2" s="452">
        <v>2021</v>
      </c>
      <c r="L2" s="452">
        <v>2022</v>
      </c>
    </row>
    <row r="3" spans="1:12" s="186" customFormat="1" x14ac:dyDescent="0.2">
      <c r="A3" s="369" t="s">
        <v>86</v>
      </c>
      <c r="B3" s="370"/>
      <c r="C3" s="370"/>
      <c r="D3" s="371"/>
      <c r="E3" s="371"/>
      <c r="F3" s="371"/>
      <c r="G3" s="371"/>
      <c r="H3" s="371"/>
      <c r="I3" s="371"/>
      <c r="J3" s="371"/>
      <c r="K3" s="371"/>
      <c r="L3" s="371"/>
    </row>
    <row r="4" spans="1:12" hidden="1" x14ac:dyDescent="0.2">
      <c r="A4" s="372" t="s">
        <v>174</v>
      </c>
      <c r="B4" s="373">
        <v>300</v>
      </c>
      <c r="C4" s="374">
        <v>275</v>
      </c>
      <c r="D4" s="374">
        <v>600</v>
      </c>
      <c r="E4" s="374" t="s">
        <v>405</v>
      </c>
      <c r="F4" s="374" t="s">
        <v>405</v>
      </c>
      <c r="G4" s="374" t="s">
        <v>405</v>
      </c>
      <c r="H4" s="374" t="s">
        <v>405</v>
      </c>
      <c r="I4" s="374" t="s">
        <v>405</v>
      </c>
      <c r="J4" s="374" t="s">
        <v>405</v>
      </c>
      <c r="K4" s="374" t="s">
        <v>405</v>
      </c>
      <c r="L4" s="374" t="s">
        <v>405</v>
      </c>
    </row>
    <row r="5" spans="1:12" hidden="1" x14ac:dyDescent="0.2">
      <c r="A5" s="372" t="s">
        <v>175</v>
      </c>
      <c r="B5" s="373">
        <v>250</v>
      </c>
      <c r="C5" s="374">
        <v>500</v>
      </c>
      <c r="D5" s="374">
        <v>800</v>
      </c>
      <c r="E5" s="374" t="s">
        <v>405</v>
      </c>
      <c r="F5" s="374" t="s">
        <v>405</v>
      </c>
      <c r="G5" s="374" t="s">
        <v>405</v>
      </c>
      <c r="H5" s="374" t="s">
        <v>405</v>
      </c>
      <c r="I5" s="374" t="s">
        <v>405</v>
      </c>
      <c r="J5" s="374" t="s">
        <v>405</v>
      </c>
      <c r="K5" s="374" t="s">
        <v>405</v>
      </c>
      <c r="L5" s="374" t="s">
        <v>405</v>
      </c>
    </row>
    <row r="6" spans="1:12" x14ac:dyDescent="0.2">
      <c r="A6" s="372" t="s">
        <v>250</v>
      </c>
      <c r="B6" s="373">
        <v>1000</v>
      </c>
      <c r="C6" s="374">
        <v>3000</v>
      </c>
      <c r="D6" s="374">
        <v>5000</v>
      </c>
      <c r="E6" s="374">
        <v>4000</v>
      </c>
      <c r="F6" s="552">
        <v>3500</v>
      </c>
      <c r="G6" s="552">
        <v>3500</v>
      </c>
      <c r="H6" s="552">
        <v>3500</v>
      </c>
      <c r="I6" s="552">
        <v>3500</v>
      </c>
      <c r="J6" s="552">
        <v>3500</v>
      </c>
      <c r="K6" s="552">
        <v>3000</v>
      </c>
      <c r="L6" s="552">
        <v>3500</v>
      </c>
    </row>
    <row r="7" spans="1:12" hidden="1" x14ac:dyDescent="0.2">
      <c r="A7" s="372" t="s">
        <v>62</v>
      </c>
      <c r="B7" s="373"/>
      <c r="C7" s="374">
        <v>500</v>
      </c>
      <c r="D7" s="374">
        <v>1000</v>
      </c>
      <c r="E7" s="374" t="s">
        <v>401</v>
      </c>
      <c r="F7" s="552" t="s">
        <v>401</v>
      </c>
      <c r="G7" s="552"/>
      <c r="H7" s="552"/>
      <c r="I7" s="552"/>
      <c r="J7" s="552"/>
      <c r="K7" s="552"/>
      <c r="L7" s="552"/>
    </row>
    <row r="8" spans="1:12" hidden="1" x14ac:dyDescent="0.2">
      <c r="A8" s="372" t="s">
        <v>63</v>
      </c>
      <c r="B8" s="373">
        <v>1000</v>
      </c>
      <c r="C8" s="374">
        <v>400</v>
      </c>
      <c r="D8" s="374">
        <v>1000</v>
      </c>
      <c r="E8" s="374" t="s">
        <v>401</v>
      </c>
      <c r="F8" s="552" t="s">
        <v>401</v>
      </c>
      <c r="G8" s="552"/>
      <c r="H8" s="552"/>
      <c r="I8" s="552"/>
      <c r="J8" s="552"/>
      <c r="K8" s="552"/>
      <c r="L8" s="552"/>
    </row>
    <row r="9" spans="1:12" hidden="1" x14ac:dyDescent="0.2">
      <c r="A9" s="372" t="s">
        <v>249</v>
      </c>
      <c r="B9" s="373">
        <v>1800</v>
      </c>
      <c r="C9" s="374">
        <v>2400</v>
      </c>
      <c r="D9" s="374">
        <v>2100</v>
      </c>
      <c r="E9" s="375" t="s">
        <v>402</v>
      </c>
      <c r="F9" s="553" t="s">
        <v>402</v>
      </c>
      <c r="G9" s="553"/>
      <c r="H9" s="553"/>
      <c r="I9" s="553"/>
      <c r="J9" s="553"/>
      <c r="K9" s="553"/>
      <c r="L9" s="553"/>
    </row>
    <row r="10" spans="1:12" hidden="1" x14ac:dyDescent="0.2">
      <c r="A10" s="372" t="s">
        <v>248</v>
      </c>
      <c r="B10" s="373">
        <v>2440</v>
      </c>
      <c r="C10" s="374">
        <v>450</v>
      </c>
      <c r="D10" s="374">
        <v>700</v>
      </c>
      <c r="E10" s="374" t="s">
        <v>401</v>
      </c>
      <c r="F10" s="552" t="s">
        <v>401</v>
      </c>
      <c r="G10" s="552"/>
      <c r="H10" s="552"/>
      <c r="I10" s="552"/>
      <c r="J10" s="552"/>
      <c r="K10" s="552"/>
      <c r="L10" s="552"/>
    </row>
    <row r="11" spans="1:12" hidden="1" x14ac:dyDescent="0.2">
      <c r="A11" s="372" t="s">
        <v>336</v>
      </c>
      <c r="B11" s="373"/>
      <c r="C11" s="374">
        <v>850</v>
      </c>
      <c r="D11" s="374">
        <v>850</v>
      </c>
      <c r="E11" s="374" t="s">
        <v>404</v>
      </c>
      <c r="F11" s="552" t="s">
        <v>404</v>
      </c>
      <c r="G11" s="552"/>
      <c r="H11" s="552"/>
      <c r="I11" s="552"/>
      <c r="J11" s="552"/>
      <c r="K11" s="552"/>
      <c r="L11" s="552"/>
    </row>
    <row r="12" spans="1:12" hidden="1" x14ac:dyDescent="0.2">
      <c r="A12" s="372" t="s">
        <v>251</v>
      </c>
      <c r="B12" s="373">
        <v>2040</v>
      </c>
      <c r="C12" s="374"/>
      <c r="D12" s="374">
        <v>1000</v>
      </c>
      <c r="E12" s="374" t="s">
        <v>401</v>
      </c>
      <c r="F12" s="552" t="s">
        <v>401</v>
      </c>
      <c r="G12" s="552"/>
      <c r="H12" s="552"/>
      <c r="I12" s="552"/>
      <c r="J12" s="552"/>
      <c r="K12" s="552"/>
      <c r="L12" s="552"/>
    </row>
    <row r="13" spans="1:12" hidden="1" x14ac:dyDescent="0.2">
      <c r="A13" s="372" t="s">
        <v>279</v>
      </c>
      <c r="B13" s="373">
        <v>2280</v>
      </c>
      <c r="C13" s="374"/>
      <c r="D13" s="374">
        <v>1000</v>
      </c>
      <c r="E13" s="374" t="s">
        <v>401</v>
      </c>
      <c r="F13" s="552" t="s">
        <v>401</v>
      </c>
      <c r="G13" s="552"/>
      <c r="H13" s="552"/>
      <c r="I13" s="552"/>
      <c r="J13" s="552"/>
      <c r="K13" s="552"/>
      <c r="L13" s="552"/>
    </row>
    <row r="14" spans="1:12" x14ac:dyDescent="0.2">
      <c r="A14" s="372" t="s">
        <v>641</v>
      </c>
      <c r="B14" s="373">
        <v>3200</v>
      </c>
      <c r="C14" s="374">
        <v>1500</v>
      </c>
      <c r="D14" s="374">
        <v>1200</v>
      </c>
      <c r="E14" s="374" t="s">
        <v>405</v>
      </c>
      <c r="F14" s="552" t="s">
        <v>405</v>
      </c>
      <c r="G14" s="552"/>
      <c r="H14" s="552"/>
      <c r="I14" s="552">
        <v>0</v>
      </c>
      <c r="J14" s="552"/>
      <c r="K14" s="552">
        <v>1000</v>
      </c>
      <c r="L14" s="552">
        <v>1500</v>
      </c>
    </row>
    <row r="15" spans="1:12" x14ac:dyDescent="0.2">
      <c r="A15" s="372" t="s">
        <v>253</v>
      </c>
      <c r="B15" s="373">
        <v>4000</v>
      </c>
      <c r="C15" s="374">
        <v>4000</v>
      </c>
      <c r="D15" s="374">
        <v>4500</v>
      </c>
      <c r="E15" s="374">
        <v>4500</v>
      </c>
      <c r="F15" s="552">
        <v>5000</v>
      </c>
      <c r="G15" s="552">
        <v>6000</v>
      </c>
      <c r="H15" s="552">
        <v>8000</v>
      </c>
      <c r="I15" s="552">
        <v>8500</v>
      </c>
      <c r="J15" s="552">
        <v>8500</v>
      </c>
      <c r="K15" s="552">
        <v>8500</v>
      </c>
      <c r="L15" s="552">
        <v>8500</v>
      </c>
    </row>
    <row r="16" spans="1:12" hidden="1" x14ac:dyDescent="0.2">
      <c r="A16" s="372" t="s">
        <v>254</v>
      </c>
      <c r="B16" s="373">
        <v>1500</v>
      </c>
      <c r="C16" s="374"/>
      <c r="D16" s="374">
        <v>600</v>
      </c>
      <c r="E16" s="374" t="s">
        <v>404</v>
      </c>
      <c r="F16" s="552" t="s">
        <v>404</v>
      </c>
      <c r="G16" s="552"/>
      <c r="H16" s="552"/>
      <c r="I16" s="552"/>
      <c r="J16" s="552"/>
      <c r="K16" s="552"/>
      <c r="L16" s="552"/>
    </row>
    <row r="17" spans="1:12" x14ac:dyDescent="0.2">
      <c r="A17" s="372" t="s">
        <v>252</v>
      </c>
      <c r="B17" s="373">
        <v>3000</v>
      </c>
      <c r="C17" s="374">
        <v>3000</v>
      </c>
      <c r="D17" s="374">
        <f>3000-1235</f>
        <v>1765</v>
      </c>
      <c r="E17" s="374">
        <v>3000</v>
      </c>
      <c r="F17" s="552">
        <v>3000</v>
      </c>
      <c r="G17" s="552">
        <v>4500</v>
      </c>
      <c r="H17" s="552">
        <v>4500</v>
      </c>
      <c r="I17" s="552">
        <v>4500</v>
      </c>
      <c r="J17" s="552">
        <v>4500</v>
      </c>
      <c r="K17" s="552">
        <v>4500</v>
      </c>
      <c r="L17" s="552">
        <v>4500</v>
      </c>
    </row>
    <row r="18" spans="1:12" hidden="1" x14ac:dyDescent="0.2">
      <c r="A18" s="372" t="s">
        <v>290</v>
      </c>
      <c r="B18" s="373">
        <v>1400</v>
      </c>
      <c r="C18" s="374">
        <v>4500</v>
      </c>
      <c r="D18" s="374">
        <v>3000</v>
      </c>
      <c r="E18" s="375" t="s">
        <v>402</v>
      </c>
      <c r="F18" s="553" t="s">
        <v>402</v>
      </c>
      <c r="G18" s="553"/>
      <c r="H18" s="553"/>
      <c r="I18" s="553"/>
      <c r="J18" s="553"/>
      <c r="K18" s="553"/>
      <c r="L18" s="553"/>
    </row>
    <row r="19" spans="1:12" hidden="1" x14ac:dyDescent="0.2">
      <c r="A19" s="372" t="s">
        <v>399</v>
      </c>
      <c r="B19" s="373">
        <v>1400</v>
      </c>
      <c r="C19" s="375">
        <v>3000</v>
      </c>
      <c r="D19" s="375">
        <v>1500</v>
      </c>
      <c r="E19" s="375" t="s">
        <v>402</v>
      </c>
      <c r="F19" s="553" t="s">
        <v>402</v>
      </c>
      <c r="G19" s="553"/>
      <c r="H19" s="553"/>
      <c r="I19" s="553"/>
      <c r="J19" s="553"/>
      <c r="K19" s="553"/>
      <c r="L19" s="553"/>
    </row>
    <row r="20" spans="1:12" hidden="1" x14ac:dyDescent="0.2">
      <c r="A20" s="372" t="s">
        <v>291</v>
      </c>
      <c r="B20" s="373"/>
      <c r="C20" s="375">
        <v>2500</v>
      </c>
      <c r="D20" s="375">
        <v>2500</v>
      </c>
      <c r="E20" s="375" t="s">
        <v>402</v>
      </c>
      <c r="F20" s="553" t="s">
        <v>402</v>
      </c>
      <c r="G20" s="553"/>
      <c r="H20" s="553"/>
      <c r="I20" s="553"/>
      <c r="J20" s="553"/>
      <c r="K20" s="553"/>
      <c r="L20" s="553"/>
    </row>
    <row r="21" spans="1:12" hidden="1" x14ac:dyDescent="0.2">
      <c r="A21" s="372" t="s">
        <v>292</v>
      </c>
      <c r="B21" s="373"/>
      <c r="C21" s="375">
        <v>4000</v>
      </c>
      <c r="D21" s="375">
        <v>4000</v>
      </c>
      <c r="E21" s="375" t="s">
        <v>402</v>
      </c>
      <c r="F21" s="553" t="s">
        <v>402</v>
      </c>
      <c r="G21" s="553"/>
      <c r="H21" s="553"/>
      <c r="I21" s="553"/>
      <c r="J21" s="553"/>
      <c r="K21" s="553"/>
      <c r="L21" s="553"/>
    </row>
    <row r="22" spans="1:12" x14ac:dyDescent="0.2">
      <c r="A22" s="372" t="s">
        <v>293</v>
      </c>
      <c r="B22" s="376"/>
      <c r="C22" s="374">
        <v>4500</v>
      </c>
      <c r="D22" s="374">
        <v>3000</v>
      </c>
      <c r="E22" s="375">
        <v>2500</v>
      </c>
      <c r="F22" s="553">
        <v>2500</v>
      </c>
      <c r="G22" s="553">
        <v>2500</v>
      </c>
      <c r="H22" s="553">
        <v>2500</v>
      </c>
      <c r="I22" s="553">
        <v>2500</v>
      </c>
      <c r="J22" s="553">
        <v>2500</v>
      </c>
      <c r="K22" s="553">
        <v>2500</v>
      </c>
      <c r="L22" s="553">
        <v>4000</v>
      </c>
    </row>
    <row r="23" spans="1:12" x14ac:dyDescent="0.2">
      <c r="A23" s="726" t="s">
        <v>400</v>
      </c>
      <c r="B23" s="373"/>
      <c r="C23" s="374">
        <v>900</v>
      </c>
      <c r="D23" s="374">
        <v>1500</v>
      </c>
      <c r="E23" s="374">
        <v>1500</v>
      </c>
      <c r="F23" s="552">
        <v>1500</v>
      </c>
      <c r="G23" s="552">
        <v>2500</v>
      </c>
      <c r="H23" s="552">
        <v>2500</v>
      </c>
      <c r="I23" s="552">
        <v>2500</v>
      </c>
      <c r="J23" s="552">
        <v>2500</v>
      </c>
      <c r="K23" s="552">
        <v>1500</v>
      </c>
      <c r="L23" s="552">
        <v>1500</v>
      </c>
    </row>
    <row r="24" spans="1:12" x14ac:dyDescent="0.2">
      <c r="A24" s="743" t="s">
        <v>642</v>
      </c>
      <c r="B24" s="373"/>
      <c r="C24" s="374"/>
      <c r="D24" s="374">
        <v>3000</v>
      </c>
      <c r="E24" s="374">
        <v>20000</v>
      </c>
      <c r="F24" s="552">
        <v>35000</v>
      </c>
      <c r="G24" s="552">
        <v>40000</v>
      </c>
      <c r="H24" s="552">
        <v>40000</v>
      </c>
      <c r="I24" s="552">
        <v>50000</v>
      </c>
      <c r="J24" s="552">
        <v>50000</v>
      </c>
      <c r="K24" s="552">
        <v>60000</v>
      </c>
      <c r="L24" s="553">
        <v>45000</v>
      </c>
    </row>
    <row r="25" spans="1:12" x14ac:dyDescent="0.2">
      <c r="A25" s="726" t="s">
        <v>586</v>
      </c>
      <c r="B25" s="373"/>
      <c r="C25" s="374"/>
      <c r="D25" s="374"/>
      <c r="E25" s="374">
        <v>4700</v>
      </c>
      <c r="F25" s="552">
        <v>2500</v>
      </c>
      <c r="G25" s="552">
        <v>1500</v>
      </c>
      <c r="H25" s="552">
        <v>1500</v>
      </c>
      <c r="I25" s="552">
        <v>1500</v>
      </c>
      <c r="J25" s="552">
        <v>1500</v>
      </c>
      <c r="K25" s="552">
        <v>1500</v>
      </c>
      <c r="L25" s="552">
        <v>1500</v>
      </c>
    </row>
    <row r="26" spans="1:12" x14ac:dyDescent="0.2">
      <c r="A26" s="726" t="s">
        <v>643</v>
      </c>
      <c r="B26" s="373"/>
      <c r="C26" s="374"/>
      <c r="D26" s="374"/>
      <c r="E26" s="374">
        <v>13100</v>
      </c>
      <c r="F26" s="552">
        <v>11000</v>
      </c>
      <c r="G26" s="552">
        <v>11000</v>
      </c>
      <c r="H26" s="552">
        <v>11000</v>
      </c>
      <c r="I26" s="552">
        <v>12000</v>
      </c>
      <c r="J26" s="552">
        <v>15000</v>
      </c>
      <c r="K26" s="552">
        <v>15000</v>
      </c>
      <c r="L26" s="552">
        <v>15000</v>
      </c>
    </row>
    <row r="27" spans="1:12" x14ac:dyDescent="0.2">
      <c r="A27" s="726" t="s">
        <v>403</v>
      </c>
      <c r="B27" s="373"/>
      <c r="C27" s="374"/>
      <c r="D27" s="374"/>
      <c r="E27" s="374">
        <v>1450</v>
      </c>
      <c r="F27" s="552">
        <f>(40*25)+600</f>
        <v>1600</v>
      </c>
      <c r="G27" s="552">
        <v>2000</v>
      </c>
      <c r="H27" s="552">
        <v>2000</v>
      </c>
      <c r="I27" s="552">
        <v>2500</v>
      </c>
      <c r="J27" s="552">
        <v>2500</v>
      </c>
      <c r="K27" s="552">
        <v>1500</v>
      </c>
      <c r="L27" s="552">
        <v>1700</v>
      </c>
    </row>
    <row r="28" spans="1:12" x14ac:dyDescent="0.2">
      <c r="A28" s="726" t="s">
        <v>582</v>
      </c>
      <c r="B28" s="373"/>
      <c r="C28" s="374"/>
      <c r="D28" s="374"/>
      <c r="E28" s="374">
        <v>3900</v>
      </c>
      <c r="F28" s="552">
        <v>5000</v>
      </c>
      <c r="G28" s="552">
        <v>5000</v>
      </c>
      <c r="H28" s="552">
        <v>7000</v>
      </c>
      <c r="I28" s="552">
        <v>10000</v>
      </c>
      <c r="J28" s="552">
        <v>10000</v>
      </c>
      <c r="K28" s="552">
        <v>10000</v>
      </c>
      <c r="L28" s="552">
        <v>10000</v>
      </c>
    </row>
    <row r="29" spans="1:12" hidden="1" x14ac:dyDescent="0.2">
      <c r="A29" s="726" t="s">
        <v>449</v>
      </c>
      <c r="B29" s="373"/>
      <c r="C29" s="374"/>
      <c r="D29" s="374"/>
      <c r="E29" s="374"/>
      <c r="F29" s="552">
        <v>2800</v>
      </c>
      <c r="G29" s="552">
        <v>0</v>
      </c>
      <c r="H29" s="552">
        <v>0</v>
      </c>
      <c r="I29" s="552">
        <v>0</v>
      </c>
      <c r="J29" s="552">
        <v>0</v>
      </c>
      <c r="K29" s="552">
        <v>0</v>
      </c>
      <c r="L29" s="552">
        <v>0</v>
      </c>
    </row>
    <row r="30" spans="1:12" x14ac:dyDescent="0.2">
      <c r="A30" s="726" t="s">
        <v>583</v>
      </c>
      <c r="B30" s="373"/>
      <c r="C30" s="374"/>
      <c r="D30" s="374"/>
      <c r="E30" s="374"/>
      <c r="F30" s="552">
        <v>0</v>
      </c>
      <c r="G30" s="552">
        <v>6000</v>
      </c>
      <c r="H30" s="552">
        <v>7000</v>
      </c>
      <c r="I30" s="552">
        <v>8000</v>
      </c>
      <c r="J30" s="552">
        <f>(295*16)+(90)+(195*16)</f>
        <v>7930</v>
      </c>
      <c r="K30" s="552">
        <f>(295*2)+(90)+(195*2)</f>
        <v>1070</v>
      </c>
      <c r="L30" s="552">
        <v>0</v>
      </c>
    </row>
    <row r="31" spans="1:12" hidden="1" x14ac:dyDescent="0.2">
      <c r="A31" s="726" t="s">
        <v>507</v>
      </c>
      <c r="B31" s="373"/>
      <c r="C31" s="374"/>
      <c r="D31" s="374"/>
      <c r="E31" s="374"/>
      <c r="F31" s="552">
        <v>0</v>
      </c>
      <c r="G31" s="552">
        <v>0</v>
      </c>
      <c r="H31" s="552">
        <f>6500+1250+275</f>
        <v>8025</v>
      </c>
      <c r="I31" s="552">
        <v>0</v>
      </c>
      <c r="J31" s="552">
        <v>0</v>
      </c>
      <c r="K31" s="552">
        <v>0</v>
      </c>
      <c r="L31" s="552">
        <v>0</v>
      </c>
    </row>
    <row r="32" spans="1:12" hidden="1" x14ac:dyDescent="0.2">
      <c r="A32" s="726" t="s">
        <v>584</v>
      </c>
      <c r="B32" s="373"/>
      <c r="C32" s="374"/>
      <c r="D32" s="374"/>
      <c r="E32" s="374"/>
      <c r="F32" s="552"/>
      <c r="G32" s="552"/>
      <c r="H32" s="552">
        <v>10000</v>
      </c>
      <c r="I32" s="552">
        <v>0</v>
      </c>
      <c r="J32" s="552">
        <v>0</v>
      </c>
      <c r="K32" s="552">
        <v>0</v>
      </c>
      <c r="L32" s="552">
        <v>0</v>
      </c>
    </row>
    <row r="33" spans="1:12" x14ac:dyDescent="0.2">
      <c r="A33" s="726" t="s">
        <v>605</v>
      </c>
      <c r="B33" s="373"/>
      <c r="C33" s="374"/>
      <c r="D33" s="374"/>
      <c r="E33" s="374"/>
      <c r="F33" s="552"/>
      <c r="G33" s="552"/>
      <c r="H33" s="552">
        <v>0</v>
      </c>
      <c r="I33" s="552">
        <v>0</v>
      </c>
      <c r="J33" s="552">
        <f>12000+6000</f>
        <v>18000</v>
      </c>
      <c r="K33" s="552">
        <f>(12000+6000)*0.67</f>
        <v>12060</v>
      </c>
      <c r="L33" s="552">
        <f>(12000+6000)*0.67</f>
        <v>12060</v>
      </c>
    </row>
    <row r="34" spans="1:12" x14ac:dyDescent="0.2">
      <c r="A34" s="726" t="s">
        <v>611</v>
      </c>
      <c r="B34" s="373"/>
      <c r="C34" s="374"/>
      <c r="D34" s="374"/>
      <c r="E34" s="374"/>
      <c r="F34" s="552"/>
      <c r="G34" s="552"/>
      <c r="H34" s="552">
        <v>0</v>
      </c>
      <c r="I34" s="552">
        <v>0</v>
      </c>
      <c r="J34" s="552">
        <v>1400</v>
      </c>
      <c r="K34" s="552"/>
      <c r="L34" s="552">
        <v>0</v>
      </c>
    </row>
    <row r="35" spans="1:12" x14ac:dyDescent="0.2">
      <c r="A35" s="726" t="s">
        <v>612</v>
      </c>
      <c r="B35" s="373"/>
      <c r="C35" s="374"/>
      <c r="D35" s="374"/>
      <c r="E35" s="374"/>
      <c r="F35" s="552"/>
      <c r="G35" s="552"/>
      <c r="H35" s="552">
        <v>0</v>
      </c>
      <c r="I35" s="552">
        <v>0</v>
      </c>
      <c r="J35" s="552">
        <v>1100</v>
      </c>
      <c r="K35" s="552"/>
      <c r="L35" s="552">
        <v>0</v>
      </c>
    </row>
    <row r="36" spans="1:12" x14ac:dyDescent="0.2">
      <c r="A36" s="726" t="s">
        <v>644</v>
      </c>
      <c r="B36" s="373"/>
      <c r="C36" s="374"/>
      <c r="D36" s="374"/>
      <c r="E36" s="374"/>
      <c r="F36" s="552"/>
      <c r="G36" s="552"/>
      <c r="H36" s="552"/>
      <c r="I36" s="552">
        <v>0</v>
      </c>
      <c r="J36" s="552"/>
      <c r="K36" s="552">
        <v>2200</v>
      </c>
      <c r="L36" s="552">
        <v>0</v>
      </c>
    </row>
    <row r="37" spans="1:12" x14ac:dyDescent="0.2">
      <c r="A37" s="726" t="s">
        <v>664</v>
      </c>
      <c r="B37" s="373"/>
      <c r="C37" s="374"/>
      <c r="D37" s="374"/>
      <c r="E37" s="374"/>
      <c r="F37" s="552"/>
      <c r="G37" s="552"/>
      <c r="H37" s="552"/>
      <c r="I37" s="552"/>
      <c r="J37" s="552"/>
      <c r="K37" s="552"/>
      <c r="L37" s="553">
        <v>25000</v>
      </c>
    </row>
    <row r="38" spans="1:12" x14ac:dyDescent="0.2">
      <c r="A38" s="726" t="s">
        <v>675</v>
      </c>
      <c r="B38" s="373"/>
      <c r="C38" s="374"/>
      <c r="D38" s="374"/>
      <c r="E38" s="374"/>
      <c r="F38" s="552"/>
      <c r="G38" s="552"/>
      <c r="H38" s="552"/>
      <c r="I38" s="552"/>
      <c r="J38" s="552"/>
      <c r="K38" s="552"/>
      <c r="L38" s="553">
        <v>28000</v>
      </c>
    </row>
    <row r="39" spans="1:12" x14ac:dyDescent="0.2">
      <c r="A39" s="396"/>
      <c r="B39" s="373">
        <v>-22000</v>
      </c>
      <c r="C39" s="374"/>
      <c r="D39" s="374"/>
      <c r="E39" s="374"/>
      <c r="F39" s="552"/>
      <c r="G39" s="552"/>
      <c r="H39" s="552"/>
      <c r="I39" s="552"/>
      <c r="J39" s="552"/>
      <c r="K39" s="552"/>
      <c r="L39" s="552"/>
    </row>
    <row r="40" spans="1:12" ht="17.25" thickBot="1" x14ac:dyDescent="0.25">
      <c r="A40" s="381" t="s">
        <v>84</v>
      </c>
      <c r="B40" s="656">
        <f t="shared" ref="B40:J40" si="0">SUM(B4:B39)</f>
        <v>3610</v>
      </c>
      <c r="C40" s="656">
        <f t="shared" si="0"/>
        <v>36275</v>
      </c>
      <c r="D40" s="656">
        <f t="shared" si="0"/>
        <v>40615</v>
      </c>
      <c r="E40" s="656">
        <f t="shared" si="0"/>
        <v>58650</v>
      </c>
      <c r="F40" s="657">
        <f t="shared" si="0"/>
        <v>73400</v>
      </c>
      <c r="G40" s="657">
        <f t="shared" si="0"/>
        <v>84500</v>
      </c>
      <c r="H40" s="657">
        <f t="shared" si="0"/>
        <v>107525</v>
      </c>
      <c r="I40" s="657">
        <f t="shared" si="0"/>
        <v>105500</v>
      </c>
      <c r="J40" s="657">
        <f t="shared" si="0"/>
        <v>128930</v>
      </c>
      <c r="K40" s="657">
        <f>SUM(K4:K39)</f>
        <v>124330</v>
      </c>
      <c r="L40" s="657">
        <f>SUM(L4:L39)</f>
        <v>161760</v>
      </c>
    </row>
    <row r="41" spans="1:12" ht="17.25" thickTop="1" x14ac:dyDescent="0.2"/>
    <row r="42" spans="1:12" x14ac:dyDescent="0.2">
      <c r="A42" s="725"/>
    </row>
    <row r="43" spans="1:12" x14ac:dyDescent="0.2">
      <c r="A43" s="725"/>
    </row>
  </sheetData>
  <sortState ref="A30:E54">
    <sortCondition ref="A30:A54"/>
  </sortState>
  <phoneticPr fontId="18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workbookViewId="0">
      <pane ySplit="2" topLeftCell="A3" activePane="bottomLeft" state="frozen"/>
      <selection pane="bottomLeft"/>
    </sheetView>
  </sheetViews>
  <sheetFormatPr defaultColWidth="11.140625" defaultRowHeight="18.75" customHeight="1" x14ac:dyDescent="0.3"/>
  <cols>
    <col min="1" max="1" width="6.5703125" style="93" customWidth="1"/>
    <col min="2" max="2" width="43.140625" style="56" customWidth="1"/>
    <col min="3" max="7" width="12" style="23" hidden="1" customWidth="1"/>
    <col min="8" max="8" width="12.85546875" style="23" hidden="1" customWidth="1"/>
    <col min="9" max="10" width="13.140625" style="23" hidden="1" customWidth="1"/>
    <col min="11" max="11" width="13.140625" style="23" customWidth="1"/>
    <col min="12" max="12" width="13.42578125" style="23" bestFit="1" customWidth="1"/>
    <col min="13" max="13" width="13.42578125" style="23" customWidth="1"/>
    <col min="14" max="14" width="13.28515625" style="23" bestFit="1" customWidth="1"/>
    <col min="15" max="15" width="12.85546875" style="23" bestFit="1" customWidth="1"/>
    <col min="16" max="16384" width="11.140625" style="23"/>
  </cols>
  <sheetData>
    <row r="1" spans="1:16" s="89" customFormat="1" ht="18.75" customHeight="1" x14ac:dyDescent="0.3">
      <c r="A1" s="385"/>
      <c r="B1" s="386" t="s">
        <v>369</v>
      </c>
      <c r="C1" s="386" t="s">
        <v>338</v>
      </c>
      <c r="D1" s="386" t="s">
        <v>339</v>
      </c>
      <c r="E1" s="386"/>
      <c r="F1" s="386"/>
      <c r="G1" s="386"/>
      <c r="H1" s="386"/>
      <c r="I1" s="386"/>
      <c r="J1" s="386"/>
      <c r="K1" s="737"/>
      <c r="L1" s="737"/>
      <c r="M1" s="737"/>
    </row>
    <row r="2" spans="1:16" s="89" customFormat="1" ht="18.75" customHeight="1" x14ac:dyDescent="0.3">
      <c r="A2" s="686"/>
      <c r="B2" s="687" t="s">
        <v>86</v>
      </c>
      <c r="C2" s="688">
        <v>2010</v>
      </c>
      <c r="D2" s="688">
        <v>2013</v>
      </c>
      <c r="E2" s="689">
        <v>2014</v>
      </c>
      <c r="F2" s="689">
        <v>2015</v>
      </c>
      <c r="G2" s="689">
        <v>2016</v>
      </c>
      <c r="H2" s="689">
        <v>2017</v>
      </c>
      <c r="I2" s="689">
        <v>2018</v>
      </c>
      <c r="J2" s="723">
        <v>2019</v>
      </c>
      <c r="K2" s="689">
        <v>2020</v>
      </c>
      <c r="L2" s="689">
        <v>2021</v>
      </c>
      <c r="M2" s="689">
        <v>2022</v>
      </c>
      <c r="O2" s="89" t="s">
        <v>548</v>
      </c>
    </row>
    <row r="3" spans="1:16" s="210" customFormat="1" ht="24.95" customHeight="1" x14ac:dyDescent="0.3">
      <c r="A3" s="122">
        <v>407</v>
      </c>
      <c r="B3" s="31" t="s">
        <v>161</v>
      </c>
      <c r="C3" s="690">
        <v>6797.47</v>
      </c>
      <c r="D3" s="691">
        <v>7500</v>
      </c>
      <c r="E3" s="692">
        <v>15200</v>
      </c>
      <c r="F3" s="692">
        <v>11100</v>
      </c>
      <c r="G3" s="692">
        <v>8700</v>
      </c>
      <c r="H3" s="692">
        <f>4050*2</f>
        <v>8100</v>
      </c>
      <c r="I3" s="692">
        <f>4050*2</f>
        <v>8100</v>
      </c>
      <c r="J3" s="542">
        <f>18800*2</f>
        <v>37600</v>
      </c>
      <c r="K3" s="685">
        <f>(66000*2)-40000</f>
        <v>92000</v>
      </c>
      <c r="L3" s="685">
        <v>80000</v>
      </c>
      <c r="M3" s="685">
        <v>20000</v>
      </c>
      <c r="N3" s="472"/>
      <c r="O3" s="729">
        <f>M3/M24</f>
        <v>2.980525321747877E-3</v>
      </c>
    </row>
    <row r="4" spans="1:16" s="89" customFormat="1" ht="31.5" customHeight="1" x14ac:dyDescent="0.3">
      <c r="A4" s="122" t="s">
        <v>52</v>
      </c>
      <c r="B4" s="693" t="s">
        <v>632</v>
      </c>
      <c r="C4" s="636">
        <v>2079268.31</v>
      </c>
      <c r="D4" s="694">
        <v>2024884</v>
      </c>
      <c r="E4" s="620">
        <v>2073137</v>
      </c>
      <c r="F4" s="620">
        <v>2140914</v>
      </c>
      <c r="G4" s="620">
        <f>25855208.63*0.09</f>
        <v>2326968.7766999998</v>
      </c>
      <c r="H4" s="620">
        <f>28818430.97*0.1</f>
        <v>2881843.0970000001</v>
      </c>
      <c r="I4" s="620">
        <f>30191851.95*0.1</f>
        <v>3019185.1950000003</v>
      </c>
      <c r="J4" s="542">
        <f>32812364.67*0.0975</f>
        <v>3199205.5553250001</v>
      </c>
      <c r="K4" s="542">
        <f>35053870.41*0.08</f>
        <v>2804309.6327999998</v>
      </c>
      <c r="L4" s="542">
        <f>36178493.88*0.079</f>
        <v>2858101.0165200001</v>
      </c>
      <c r="M4" s="542">
        <f>40158786.78*0.065</f>
        <v>2610321.1407000003</v>
      </c>
      <c r="N4" s="745"/>
      <c r="O4" s="729">
        <f>M4/M24</f>
        <v>0.3890064128875077</v>
      </c>
    </row>
    <row r="5" spans="1:16" s="89" customFormat="1" ht="24.95" hidden="1" customHeight="1" x14ac:dyDescent="0.3">
      <c r="A5" s="122" t="s">
        <v>53</v>
      </c>
      <c r="B5" s="31" t="s">
        <v>55</v>
      </c>
      <c r="C5" s="466">
        <v>17084.2</v>
      </c>
      <c r="D5" s="695">
        <v>10175</v>
      </c>
      <c r="E5" s="467"/>
      <c r="F5" s="467"/>
      <c r="G5" s="467"/>
      <c r="H5" s="467"/>
      <c r="I5" s="467"/>
      <c r="J5" s="749"/>
      <c r="K5" s="750">
        <v>0</v>
      </c>
      <c r="L5" s="750">
        <v>0</v>
      </c>
      <c r="M5" s="750">
        <v>0</v>
      </c>
      <c r="N5" s="745"/>
    </row>
    <row r="6" spans="1:16" s="89" customFormat="1" ht="24.95" hidden="1" customHeight="1" x14ac:dyDescent="0.3">
      <c r="A6" s="122" t="s">
        <v>54</v>
      </c>
      <c r="B6" s="31" t="s">
        <v>45</v>
      </c>
      <c r="C6" s="468">
        <v>384.14</v>
      </c>
      <c r="D6" s="696"/>
      <c r="E6" s="469"/>
      <c r="F6" s="469"/>
      <c r="G6" s="469"/>
      <c r="H6" s="469"/>
      <c r="I6" s="469"/>
      <c r="J6" s="722"/>
      <c r="K6" s="744">
        <v>0</v>
      </c>
      <c r="L6" s="744">
        <v>0</v>
      </c>
      <c r="M6" s="744">
        <v>0</v>
      </c>
      <c r="N6" s="745"/>
      <c r="O6" s="729"/>
    </row>
    <row r="7" spans="1:16" s="89" customFormat="1" ht="24.95" customHeight="1" x14ac:dyDescent="0.3">
      <c r="A7" s="122">
        <v>415</v>
      </c>
      <c r="B7" s="31" t="s">
        <v>56</v>
      </c>
      <c r="C7" s="690">
        <v>1593158.56</v>
      </c>
      <c r="D7" s="697">
        <v>1644578</v>
      </c>
      <c r="E7" s="692">
        <v>1685692</v>
      </c>
      <c r="F7" s="692">
        <v>2187099</v>
      </c>
      <c r="G7" s="692">
        <f>2191383+200000</f>
        <v>2391383</v>
      </c>
      <c r="H7" s="692">
        <f>G7*1.04</f>
        <v>2487038.3200000003</v>
      </c>
      <c r="I7" s="692">
        <f>H7*1.045</f>
        <v>2598955.0444</v>
      </c>
      <c r="J7" s="542">
        <f>(I7*1.05)-(675000*0.75)-(46000*0.85)</f>
        <v>2183552.7966200002</v>
      </c>
      <c r="K7" s="542">
        <v>3027730</v>
      </c>
      <c r="L7" s="542">
        <v>3027730</v>
      </c>
      <c r="M7" s="542">
        <f>((307394+343019+350770+348364+378720+308329+281826+492495+431322+446388+465749+311596)*0.88)</f>
        <v>3930055.36</v>
      </c>
      <c r="N7" s="473"/>
      <c r="O7" s="729">
        <f>M7/M24</f>
        <v>0.58568147581754837</v>
      </c>
      <c r="P7" s="462"/>
    </row>
    <row r="8" spans="1:16" s="89" customFormat="1" ht="24.95" customHeight="1" x14ac:dyDescent="0.3">
      <c r="A8" s="122">
        <v>435</v>
      </c>
      <c r="B8" s="31" t="s">
        <v>46</v>
      </c>
      <c r="C8" s="636">
        <v>2650</v>
      </c>
      <c r="D8" s="694">
        <v>2900</v>
      </c>
      <c r="E8" s="620">
        <v>2900</v>
      </c>
      <c r="F8" s="620">
        <v>3600</v>
      </c>
      <c r="G8" s="620">
        <v>3600</v>
      </c>
      <c r="H8" s="620">
        <v>3600</v>
      </c>
      <c r="I8" s="620">
        <v>3600</v>
      </c>
      <c r="J8" s="542">
        <f>1500*2</f>
        <v>3000</v>
      </c>
      <c r="K8" s="542">
        <f>3000</f>
        <v>3000</v>
      </c>
      <c r="L8" s="542">
        <f>3000</f>
        <v>3000</v>
      </c>
      <c r="M8" s="542">
        <v>1500</v>
      </c>
      <c r="N8" s="773">
        <f>SUM(M8:M9)</f>
        <v>36500</v>
      </c>
      <c r="O8" s="729">
        <f>M8/M24</f>
        <v>2.2353939913109078E-4</v>
      </c>
    </row>
    <row r="9" spans="1:16" s="89" customFormat="1" ht="24.95" customHeight="1" x14ac:dyDescent="0.3">
      <c r="A9" s="122">
        <v>435</v>
      </c>
      <c r="B9" s="31" t="s">
        <v>47</v>
      </c>
      <c r="C9" s="466">
        <v>1490</v>
      </c>
      <c r="D9" s="695">
        <v>10000</v>
      </c>
      <c r="E9" s="467">
        <v>7000</v>
      </c>
      <c r="F9" s="467">
        <f>5000+3000</f>
        <v>8000</v>
      </c>
      <c r="G9" s="467">
        <v>8000</v>
      </c>
      <c r="H9" s="467">
        <v>10000</v>
      </c>
      <c r="I9" s="467">
        <v>10000</v>
      </c>
      <c r="J9" s="542">
        <f>3300*2</f>
        <v>6600</v>
      </c>
      <c r="K9" s="542">
        <f>35000</f>
        <v>35000</v>
      </c>
      <c r="L9" s="542">
        <f>35000</f>
        <v>35000</v>
      </c>
      <c r="M9" s="542">
        <f>35000</f>
        <v>35000</v>
      </c>
      <c r="N9" s="774"/>
      <c r="O9" s="729">
        <f>M9/M24</f>
        <v>5.2159193130587849E-3</v>
      </c>
    </row>
    <row r="10" spans="1:16" s="89" customFormat="1" ht="24.95" hidden="1" customHeight="1" x14ac:dyDescent="0.3">
      <c r="A10" s="122">
        <v>450</v>
      </c>
      <c r="B10" s="31" t="s">
        <v>323</v>
      </c>
      <c r="C10" s="468">
        <v>448</v>
      </c>
      <c r="D10" s="696">
        <v>500</v>
      </c>
      <c r="E10" s="469">
        <v>200</v>
      </c>
      <c r="F10" s="469">
        <v>200</v>
      </c>
      <c r="G10" s="469">
        <v>100</v>
      </c>
      <c r="H10" s="469">
        <v>0</v>
      </c>
      <c r="I10" s="469">
        <v>0</v>
      </c>
      <c r="J10" s="542"/>
      <c r="K10" s="542">
        <v>0</v>
      </c>
      <c r="L10" s="542">
        <v>0</v>
      </c>
      <c r="M10" s="542">
        <v>0</v>
      </c>
      <c r="N10" s="775"/>
      <c r="O10" s="729">
        <f>K10/K24</f>
        <v>0</v>
      </c>
    </row>
    <row r="11" spans="1:16" s="89" customFormat="1" ht="24.95" customHeight="1" x14ac:dyDescent="0.3">
      <c r="A11" s="122">
        <v>460</v>
      </c>
      <c r="B11" s="31" t="s">
        <v>186</v>
      </c>
      <c r="C11" s="636">
        <v>450</v>
      </c>
      <c r="D11" s="698">
        <v>4000</v>
      </c>
      <c r="E11" s="620">
        <v>4000</v>
      </c>
      <c r="F11" s="620">
        <v>2000</v>
      </c>
      <c r="G11" s="620">
        <v>2000</v>
      </c>
      <c r="H11" s="620">
        <v>2000</v>
      </c>
      <c r="I11" s="620">
        <v>2000</v>
      </c>
      <c r="J11" s="542">
        <v>200</v>
      </c>
      <c r="K11" s="542">
        <v>8000</v>
      </c>
      <c r="L11" s="542">
        <v>8000</v>
      </c>
      <c r="M11" s="542">
        <v>8000</v>
      </c>
      <c r="N11" s="773">
        <f>SUM(M11:M13)</f>
        <v>108750</v>
      </c>
      <c r="O11" s="729">
        <f>M11/M24</f>
        <v>1.1922101286991507E-3</v>
      </c>
    </row>
    <row r="12" spans="1:16" s="89" customFormat="1" ht="24.95" customHeight="1" x14ac:dyDescent="0.3">
      <c r="A12" s="122">
        <v>470</v>
      </c>
      <c r="B12" s="693" t="s">
        <v>462</v>
      </c>
      <c r="C12" s="466">
        <v>124555</v>
      </c>
      <c r="D12" s="699">
        <v>144000</v>
      </c>
      <c r="E12" s="467">
        <v>147600</v>
      </c>
      <c r="F12" s="467">
        <f>30*4050</f>
        <v>121500</v>
      </c>
      <c r="G12" s="467">
        <f>28*4050</f>
        <v>113400</v>
      </c>
      <c r="H12" s="467">
        <v>97200</v>
      </c>
      <c r="I12" s="467">
        <v>97200</v>
      </c>
      <c r="J12" s="542">
        <v>76750</v>
      </c>
      <c r="K12" s="542">
        <v>76750</v>
      </c>
      <c r="L12" s="542">
        <v>76750</v>
      </c>
      <c r="M12" s="542">
        <v>76750</v>
      </c>
      <c r="N12" s="774"/>
      <c r="O12" s="729">
        <f>M12/M24</f>
        <v>1.1437765922207478E-2</v>
      </c>
    </row>
    <row r="13" spans="1:16" s="89" customFormat="1" ht="24.75" customHeight="1" x14ac:dyDescent="0.3">
      <c r="A13" s="122">
        <v>471</v>
      </c>
      <c r="B13" s="693" t="s">
        <v>633</v>
      </c>
      <c r="C13" s="468">
        <v>34455.75</v>
      </c>
      <c r="D13" s="700">
        <v>42000</v>
      </c>
      <c r="E13" s="469">
        <v>49200</v>
      </c>
      <c r="F13" s="469">
        <f>48*1100</f>
        <v>52800</v>
      </c>
      <c r="G13" s="469">
        <f>48*1100</f>
        <v>52800</v>
      </c>
      <c r="H13" s="469">
        <v>35200</v>
      </c>
      <c r="I13" s="469">
        <v>35200</v>
      </c>
      <c r="J13" s="542">
        <v>24000</v>
      </c>
      <c r="K13" s="542">
        <v>24000</v>
      </c>
      <c r="L13" s="542">
        <v>24000</v>
      </c>
      <c r="M13" s="542">
        <v>24000</v>
      </c>
      <c r="N13" s="775"/>
      <c r="O13" s="729">
        <f>M13/M24</f>
        <v>3.5766303860974525E-3</v>
      </c>
    </row>
    <row r="14" spans="1:16" s="89" customFormat="1" ht="30" hidden="1" customHeight="1" x14ac:dyDescent="0.3">
      <c r="A14" s="122">
        <v>475</v>
      </c>
      <c r="B14" s="693" t="s">
        <v>48</v>
      </c>
      <c r="C14" s="541">
        <v>6488.95</v>
      </c>
      <c r="D14" s="691">
        <v>10100</v>
      </c>
      <c r="E14" s="692">
        <v>15000</v>
      </c>
      <c r="F14" s="692"/>
      <c r="G14" s="692"/>
      <c r="H14" s="692"/>
      <c r="I14" s="692"/>
      <c r="J14" s="542"/>
      <c r="K14" s="542"/>
      <c r="L14" s="542"/>
      <c r="M14" s="542"/>
      <c r="N14" s="473"/>
      <c r="O14" s="729" t="e">
        <f>K14/J35</f>
        <v>#DIV/0!</v>
      </c>
    </row>
    <row r="15" spans="1:16" s="89" customFormat="1" ht="24.95" customHeight="1" x14ac:dyDescent="0.3">
      <c r="A15" s="122">
        <v>477</v>
      </c>
      <c r="B15" s="31" t="s">
        <v>187</v>
      </c>
      <c r="C15" s="636">
        <v>2500</v>
      </c>
      <c r="D15" s="698">
        <v>0</v>
      </c>
      <c r="E15" s="620"/>
      <c r="F15" s="620"/>
      <c r="G15" s="620"/>
      <c r="H15" s="620">
        <v>0</v>
      </c>
      <c r="I15" s="620">
        <v>0</v>
      </c>
      <c r="J15" s="542">
        <v>0</v>
      </c>
      <c r="K15" s="542">
        <v>0</v>
      </c>
      <c r="L15" s="542">
        <v>0</v>
      </c>
      <c r="M15" s="542">
        <v>0</v>
      </c>
      <c r="N15" s="773">
        <f>SUM(M15:M16)</f>
        <v>3000</v>
      </c>
      <c r="O15" s="729">
        <f>M15/M24</f>
        <v>0</v>
      </c>
    </row>
    <row r="16" spans="1:16" s="89" customFormat="1" ht="24.95" customHeight="1" x14ac:dyDescent="0.3">
      <c r="A16" s="122">
        <v>480</v>
      </c>
      <c r="B16" s="31" t="s">
        <v>183</v>
      </c>
      <c r="C16" s="468">
        <v>1250</v>
      </c>
      <c r="D16" s="696">
        <v>2500</v>
      </c>
      <c r="E16" s="469">
        <v>2500</v>
      </c>
      <c r="F16" s="469">
        <v>2500</v>
      </c>
      <c r="G16" s="469">
        <v>2500</v>
      </c>
      <c r="H16" s="469">
        <v>2500</v>
      </c>
      <c r="I16" s="469">
        <v>2500</v>
      </c>
      <c r="J16" s="542">
        <v>3500</v>
      </c>
      <c r="K16" s="542">
        <v>3500</v>
      </c>
      <c r="L16" s="542">
        <v>3500</v>
      </c>
      <c r="M16" s="542">
        <v>3000</v>
      </c>
      <c r="N16" s="775"/>
      <c r="O16" s="729">
        <f>M16/M24</f>
        <v>4.4707879826218157E-4</v>
      </c>
    </row>
    <row r="17" spans="1:15" s="89" customFormat="1" ht="24.95" customHeight="1" x14ac:dyDescent="0.3">
      <c r="A17" s="122">
        <v>485</v>
      </c>
      <c r="B17" s="31" t="s">
        <v>49</v>
      </c>
      <c r="C17" s="636">
        <v>124</v>
      </c>
      <c r="D17" s="694">
        <v>0</v>
      </c>
      <c r="E17" s="620">
        <v>300000</v>
      </c>
      <c r="F17" s="620"/>
      <c r="G17" s="620">
        <v>775000</v>
      </c>
      <c r="H17" s="620">
        <v>695000</v>
      </c>
      <c r="I17" s="620">
        <v>0</v>
      </c>
      <c r="J17" s="542">
        <v>0</v>
      </c>
      <c r="K17" s="542">
        <v>0</v>
      </c>
      <c r="L17" s="542">
        <v>0</v>
      </c>
      <c r="M17" s="542">
        <v>0</v>
      </c>
      <c r="N17" s="773">
        <f>SUM(M17:M21)</f>
        <v>1600</v>
      </c>
      <c r="O17" s="729">
        <f>M17/M24</f>
        <v>0</v>
      </c>
    </row>
    <row r="18" spans="1:15" s="89" customFormat="1" ht="24.95" customHeight="1" x14ac:dyDescent="0.3">
      <c r="A18" s="122">
        <v>487</v>
      </c>
      <c r="B18" s="31" t="s">
        <v>465</v>
      </c>
      <c r="C18" s="701">
        <v>2280.4</v>
      </c>
      <c r="D18" s="695">
        <v>3400</v>
      </c>
      <c r="E18" s="467">
        <v>2200</v>
      </c>
      <c r="F18" s="467">
        <v>2400</v>
      </c>
      <c r="G18" s="467">
        <v>2000</v>
      </c>
      <c r="H18" s="467">
        <v>2000</v>
      </c>
      <c r="I18" s="467">
        <v>2000</v>
      </c>
      <c r="J18" s="542">
        <f>650*2</f>
        <v>1300</v>
      </c>
      <c r="K18" s="542">
        <f>800*2</f>
        <v>1600</v>
      </c>
      <c r="L18" s="542">
        <f>800*2</f>
        <v>1600</v>
      </c>
      <c r="M18" s="542">
        <f>800*2</f>
        <v>1600</v>
      </c>
      <c r="N18" s="774"/>
      <c r="O18" s="729">
        <f>M18/M24</f>
        <v>2.3844202573983017E-4</v>
      </c>
    </row>
    <row r="19" spans="1:15" s="89" customFormat="1" ht="24.95" customHeight="1" x14ac:dyDescent="0.3">
      <c r="A19" s="122">
        <v>490</v>
      </c>
      <c r="B19" s="31" t="s">
        <v>50</v>
      </c>
      <c r="C19" s="466">
        <v>6004.64</v>
      </c>
      <c r="D19" s="695">
        <v>0</v>
      </c>
      <c r="E19" s="467"/>
      <c r="F19" s="467"/>
      <c r="G19" s="467">
        <v>0</v>
      </c>
      <c r="H19" s="467">
        <v>0</v>
      </c>
      <c r="I19" s="467">
        <v>0</v>
      </c>
      <c r="J19" s="542">
        <v>0</v>
      </c>
      <c r="K19" s="542">
        <v>0</v>
      </c>
      <c r="L19" s="542">
        <v>0</v>
      </c>
      <c r="M19" s="542">
        <v>0</v>
      </c>
      <c r="N19" s="774"/>
      <c r="O19" s="729">
        <f>M19/M24</f>
        <v>0</v>
      </c>
    </row>
    <row r="20" spans="1:15" s="89" customFormat="1" ht="24.95" customHeight="1" x14ac:dyDescent="0.3">
      <c r="A20" s="122">
        <v>493</v>
      </c>
      <c r="B20" s="31" t="s">
        <v>286</v>
      </c>
      <c r="C20" s="466">
        <v>276.60000000000002</v>
      </c>
      <c r="D20" s="695">
        <v>0</v>
      </c>
      <c r="E20" s="467"/>
      <c r="F20" s="467"/>
      <c r="G20" s="467">
        <v>0</v>
      </c>
      <c r="H20" s="467">
        <v>0</v>
      </c>
      <c r="I20" s="467">
        <v>0</v>
      </c>
      <c r="J20" s="542">
        <v>0</v>
      </c>
      <c r="K20" s="542">
        <f>1748050-1400000</f>
        <v>348050</v>
      </c>
      <c r="L20" s="542">
        <f>'663 BOND DEBT SVC'!K15+1400000</f>
        <v>1743900</v>
      </c>
      <c r="M20" s="542">
        <v>0</v>
      </c>
      <c r="N20" s="774"/>
      <c r="O20" s="729">
        <f>M20/M24</f>
        <v>0</v>
      </c>
    </row>
    <row r="21" spans="1:15" s="89" customFormat="1" ht="24.95" customHeight="1" x14ac:dyDescent="0.3">
      <c r="A21" s="122">
        <v>499</v>
      </c>
      <c r="B21" s="31" t="s">
        <v>51</v>
      </c>
      <c r="C21" s="468"/>
      <c r="D21" s="700">
        <v>55000</v>
      </c>
      <c r="E21" s="469">
        <v>80000</v>
      </c>
      <c r="F21" s="469"/>
      <c r="G21" s="469">
        <f>25000+5000</f>
        <v>30000</v>
      </c>
      <c r="H21" s="469">
        <v>0</v>
      </c>
      <c r="I21" s="469">
        <v>0</v>
      </c>
      <c r="J21" s="542">
        <v>0</v>
      </c>
      <c r="K21" s="542">
        <v>0</v>
      </c>
      <c r="L21" s="542">
        <v>5000</v>
      </c>
      <c r="M21" s="542">
        <v>0</v>
      </c>
      <c r="N21" s="775"/>
      <c r="O21" s="729">
        <f>M21/M24</f>
        <v>0</v>
      </c>
    </row>
    <row r="22" spans="1:15" s="89" customFormat="1" ht="24.95" hidden="1" customHeight="1" x14ac:dyDescent="0.3">
      <c r="A22" s="122">
        <v>495</v>
      </c>
      <c r="B22" s="702" t="s">
        <v>270</v>
      </c>
      <c r="C22" s="701">
        <v>0</v>
      </c>
      <c r="D22" s="691">
        <v>0</v>
      </c>
      <c r="E22" s="692"/>
      <c r="F22" s="692"/>
      <c r="G22" s="692"/>
      <c r="H22" s="692"/>
      <c r="I22" s="692"/>
      <c r="J22" s="721"/>
      <c r="K22" s="721"/>
      <c r="L22" s="721"/>
      <c r="M22" s="721"/>
      <c r="N22" s="474"/>
    </row>
    <row r="23" spans="1:15" s="89" customFormat="1" ht="13.5" customHeight="1" thickBot="1" x14ac:dyDescent="0.35">
      <c r="A23" s="703"/>
      <c r="B23" s="704"/>
      <c r="C23" s="42"/>
      <c r="D23" s="691"/>
      <c r="E23" s="692"/>
      <c r="F23" s="692"/>
      <c r="G23" s="692"/>
      <c r="H23" s="692"/>
      <c r="I23" s="692"/>
      <c r="J23" s="724"/>
      <c r="K23" s="724"/>
      <c r="L23" s="724"/>
      <c r="M23" s="724"/>
      <c r="N23" s="474"/>
    </row>
    <row r="24" spans="1:15" s="89" customFormat="1" ht="18.75" customHeight="1" thickTop="1" x14ac:dyDescent="0.3">
      <c r="A24" s="705"/>
      <c r="B24" s="179" t="s">
        <v>84</v>
      </c>
      <c r="C24" s="561">
        <f t="shared" ref="C24:I24" si="0">SUM(C3:C23)</f>
        <v>3879666.0200000005</v>
      </c>
      <c r="D24" s="650">
        <f t="shared" si="0"/>
        <v>3961537</v>
      </c>
      <c r="E24" s="561">
        <f t="shared" si="0"/>
        <v>4384629</v>
      </c>
      <c r="F24" s="561">
        <f t="shared" si="0"/>
        <v>4532113</v>
      </c>
      <c r="G24" s="561">
        <f t="shared" si="0"/>
        <v>5716451.7766999993</v>
      </c>
      <c r="H24" s="561">
        <f>SUM(H3:H23)</f>
        <v>6224481.4170000004</v>
      </c>
      <c r="I24" s="561">
        <f t="shared" si="0"/>
        <v>5778740.2394000003</v>
      </c>
      <c r="J24" s="561">
        <f>SUM(J3:J23)</f>
        <v>5535708.3519449998</v>
      </c>
      <c r="K24" s="561">
        <f>SUM(K3:K23)</f>
        <v>6423939.6327999998</v>
      </c>
      <c r="L24" s="561">
        <f>SUM(L3:L23)</f>
        <v>7866581.0165200001</v>
      </c>
      <c r="M24" s="561">
        <f>SUM(M3:M23)</f>
        <v>6710226.5007000007</v>
      </c>
      <c r="N24" s="475"/>
    </row>
    <row r="25" spans="1:15" s="89" customFormat="1" ht="16.5" x14ac:dyDescent="0.3">
      <c r="A25" s="93"/>
      <c r="B25" s="16"/>
      <c r="C25" s="42"/>
      <c r="D25" s="42"/>
    </row>
    <row r="26" spans="1:15" ht="12.95" customHeight="1" x14ac:dyDescent="0.25">
      <c r="A26" s="23"/>
      <c r="B26" s="23"/>
    </row>
    <row r="27" spans="1:15" ht="18" customHeight="1" x14ac:dyDescent="0.25">
      <c r="A27" s="23"/>
      <c r="B27" s="23"/>
    </row>
    <row r="28" spans="1:15" ht="9" customHeight="1" x14ac:dyDescent="0.25">
      <c r="A28" s="23"/>
      <c r="B28" s="23"/>
    </row>
    <row r="29" spans="1:15" s="89" customFormat="1" ht="12.95" customHeight="1" x14ac:dyDescent="0.25"/>
    <row r="30" spans="1:15" ht="9" customHeight="1" x14ac:dyDescent="0.25">
      <c r="A30" s="23"/>
      <c r="B30" s="23"/>
    </row>
    <row r="31" spans="1:15" ht="12.95" customHeight="1" x14ac:dyDescent="0.25">
      <c r="A31" s="23"/>
      <c r="B31" s="23"/>
    </row>
    <row r="32" spans="1:15" ht="12.95" customHeight="1" x14ac:dyDescent="0.25">
      <c r="A32" s="23"/>
      <c r="B32" s="23"/>
    </row>
    <row r="33" spans="1:2" ht="12.95" customHeight="1" x14ac:dyDescent="0.25">
      <c r="A33" s="23"/>
      <c r="B33" s="23"/>
    </row>
    <row r="34" spans="1:2" ht="12.95" customHeight="1" x14ac:dyDescent="0.25">
      <c r="A34" s="23"/>
      <c r="B34" s="23"/>
    </row>
    <row r="35" spans="1:2" ht="12.95" customHeight="1" x14ac:dyDescent="0.25">
      <c r="A35" s="23"/>
      <c r="B35" s="23"/>
    </row>
    <row r="36" spans="1:2" ht="12.95" customHeight="1" x14ac:dyDescent="0.25">
      <c r="A36" s="23"/>
      <c r="B36" s="23"/>
    </row>
    <row r="37" spans="1:2" ht="18.75" customHeight="1" x14ac:dyDescent="0.25">
      <c r="A37" s="23"/>
      <c r="B37" s="23"/>
    </row>
    <row r="38" spans="1:2" ht="18.75" customHeight="1" x14ac:dyDescent="0.25">
      <c r="A38" s="23"/>
      <c r="B38" s="23"/>
    </row>
    <row r="39" spans="1:2" ht="18.75" customHeight="1" x14ac:dyDescent="0.25">
      <c r="A39" s="23"/>
      <c r="B39" s="23"/>
    </row>
    <row r="40" spans="1:2" ht="18.75" customHeight="1" x14ac:dyDescent="0.25">
      <c r="A40" s="23"/>
      <c r="B40" s="23"/>
    </row>
    <row r="41" spans="1:2" ht="18.75" customHeight="1" x14ac:dyDescent="0.25">
      <c r="A41" s="23"/>
      <c r="B41" s="23"/>
    </row>
    <row r="42" spans="1:2" ht="10.5" customHeight="1" x14ac:dyDescent="0.25">
      <c r="A42" s="23"/>
      <c r="B42" s="23"/>
    </row>
    <row r="43" spans="1:2" ht="18.75" customHeight="1" x14ac:dyDescent="0.25">
      <c r="A43" s="23"/>
      <c r="B43" s="23"/>
    </row>
    <row r="44" spans="1:2" ht="18.75" customHeight="1" x14ac:dyDescent="0.25">
      <c r="A44" s="23"/>
      <c r="B44" s="23"/>
    </row>
    <row r="45" spans="1:2" ht="18.75" customHeight="1" x14ac:dyDescent="0.25">
      <c r="A45" s="23"/>
      <c r="B45" s="23"/>
    </row>
    <row r="46" spans="1:2" ht="18.75" customHeight="1" x14ac:dyDescent="0.25">
      <c r="A46" s="23"/>
      <c r="B46" s="23"/>
    </row>
    <row r="47" spans="1:2" ht="18.75" customHeight="1" x14ac:dyDescent="0.25">
      <c r="A47" s="23"/>
      <c r="B47" s="23"/>
    </row>
    <row r="48" spans="1:2" ht="18.75" customHeight="1" x14ac:dyDescent="0.25">
      <c r="A48" s="23"/>
      <c r="B48" s="23"/>
    </row>
    <row r="49" spans="1:2" ht="18.75" customHeight="1" x14ac:dyDescent="0.25">
      <c r="A49" s="23"/>
      <c r="B49" s="23"/>
    </row>
    <row r="50" spans="1:2" ht="18.75" customHeight="1" x14ac:dyDescent="0.25">
      <c r="A50" s="23"/>
      <c r="B50" s="23"/>
    </row>
    <row r="51" spans="1:2" ht="18.75" customHeight="1" x14ac:dyDescent="0.25">
      <c r="A51" s="23"/>
      <c r="B51" s="23"/>
    </row>
    <row r="52" spans="1:2" ht="18.75" customHeight="1" x14ac:dyDescent="0.25">
      <c r="A52" s="23"/>
      <c r="B52" s="23"/>
    </row>
    <row r="53" spans="1:2" ht="18.75" customHeight="1" x14ac:dyDescent="0.25">
      <c r="A53" s="23"/>
      <c r="B53" s="23"/>
    </row>
    <row r="54" spans="1:2" ht="18.75" customHeight="1" x14ac:dyDescent="0.25">
      <c r="A54" s="23"/>
      <c r="B54" s="23"/>
    </row>
    <row r="55" spans="1:2" ht="18.75" customHeight="1" x14ac:dyDescent="0.25">
      <c r="A55" s="23"/>
      <c r="B55" s="23"/>
    </row>
  </sheetData>
  <mergeCells count="4">
    <mergeCell ref="N8:N10"/>
    <mergeCell ref="N11:N13"/>
    <mergeCell ref="N15:N16"/>
    <mergeCell ref="N17:N21"/>
  </mergeCells>
  <phoneticPr fontId="18" type="noConversion"/>
  <printOptions horizontalCentered="1"/>
  <pageMargins left="0.75" right="0.5" top="1" bottom="1" header="0.5" footer="0.5"/>
  <pageSetup scale="80"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5.5703125" bestFit="1" customWidth="1"/>
    <col min="2" max="2" width="9.28515625" hidden="1" customWidth="1"/>
    <col min="3" max="3" width="10.28515625" hidden="1" customWidth="1"/>
    <col min="4" max="4" width="9.5703125" hidden="1" customWidth="1"/>
    <col min="5" max="5" width="0" hidden="1" customWidth="1"/>
    <col min="6" max="6" width="9.85546875" hidden="1" customWidth="1"/>
    <col min="7" max="8" width="10.28515625" hidden="1" customWidth="1"/>
    <col min="9" max="9" width="8.5703125" hidden="1" customWidth="1"/>
    <col min="10" max="12" width="8.5703125" bestFit="1" customWidth="1"/>
  </cols>
  <sheetData>
    <row r="1" spans="1:12" ht="18.95" customHeight="1" x14ac:dyDescent="0.25">
      <c r="A1" s="217" t="s">
        <v>407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ht="18.95" customHeight="1" x14ac:dyDescent="0.3">
      <c r="A2" s="105" t="s">
        <v>86</v>
      </c>
      <c r="B2" s="105">
        <v>2010</v>
      </c>
      <c r="C2" s="105">
        <v>2013</v>
      </c>
      <c r="D2" s="105">
        <v>2014</v>
      </c>
      <c r="E2" s="105">
        <v>2015</v>
      </c>
      <c r="F2" s="105">
        <v>2016</v>
      </c>
      <c r="G2" s="105">
        <v>2017</v>
      </c>
      <c r="H2" s="105">
        <v>2018</v>
      </c>
      <c r="I2" s="105">
        <v>2019</v>
      </c>
      <c r="J2" s="105">
        <v>2020</v>
      </c>
      <c r="K2" s="105">
        <v>2021</v>
      </c>
      <c r="L2" s="105">
        <v>2022</v>
      </c>
    </row>
    <row r="3" spans="1:12" ht="18.75" customHeight="1" x14ac:dyDescent="0.3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ht="24.95" customHeight="1" x14ac:dyDescent="0.3">
      <c r="A4" s="59" t="s">
        <v>263</v>
      </c>
      <c r="B4" s="38">
        <v>600</v>
      </c>
      <c r="C4" s="38">
        <v>750</v>
      </c>
      <c r="D4" s="38">
        <v>800</v>
      </c>
      <c r="E4" s="38">
        <v>1000</v>
      </c>
      <c r="F4" s="477">
        <v>1200</v>
      </c>
      <c r="G4" s="477">
        <v>1200</v>
      </c>
      <c r="H4" s="477">
        <v>2000</v>
      </c>
      <c r="I4" s="477">
        <v>2000</v>
      </c>
      <c r="J4" s="477">
        <v>3000</v>
      </c>
      <c r="K4" s="477">
        <v>3000</v>
      </c>
      <c r="L4" s="477">
        <v>2000</v>
      </c>
    </row>
    <row r="5" spans="1:12" ht="24.95" customHeight="1" x14ac:dyDescent="0.3">
      <c r="A5" s="646" t="s">
        <v>585</v>
      </c>
      <c r="B5" s="38">
        <v>1000</v>
      </c>
      <c r="C5" s="38">
        <v>400</v>
      </c>
      <c r="D5" s="38">
        <v>800</v>
      </c>
      <c r="E5" s="38">
        <v>1200</v>
      </c>
      <c r="F5" s="477">
        <v>1400</v>
      </c>
      <c r="G5" s="477">
        <v>1500</v>
      </c>
      <c r="H5" s="477">
        <v>1600</v>
      </c>
      <c r="I5" s="477">
        <v>2500</v>
      </c>
      <c r="J5" s="477">
        <v>2500</v>
      </c>
      <c r="K5" s="477">
        <v>2500</v>
      </c>
      <c r="L5" s="477">
        <v>2000</v>
      </c>
    </row>
    <row r="6" spans="1:12" ht="24.95" customHeight="1" x14ac:dyDescent="0.3">
      <c r="A6" s="106" t="s">
        <v>677</v>
      </c>
      <c r="B6" s="402">
        <v>5600</v>
      </c>
      <c r="C6" s="402">
        <v>8000</v>
      </c>
      <c r="D6" s="402">
        <v>5000</v>
      </c>
      <c r="E6" s="402">
        <v>8000</v>
      </c>
      <c r="F6" s="522">
        <v>12000</v>
      </c>
      <c r="G6" s="522">
        <f>(400*4)+(400*3)+(300*5*4)+(100*5*4)</f>
        <v>10800</v>
      </c>
      <c r="H6" s="522">
        <f>(650*4)+(300*5*4)+(100*5*4)</f>
        <v>10600</v>
      </c>
      <c r="I6" s="522">
        <f>(750*3)+(350*5*3)+(60*5*3)</f>
        <v>8400</v>
      </c>
      <c r="J6" s="522">
        <f>(800*3)+(450*5*3)+(75*5*3)</f>
        <v>10275</v>
      </c>
      <c r="K6" s="522">
        <f>(800*3)+(450*5*3)+(75*5*3)</f>
        <v>10275</v>
      </c>
      <c r="L6" s="522">
        <f>(600*3)+(450*5*3)+(75*5*3)</f>
        <v>9675</v>
      </c>
    </row>
    <row r="7" spans="1:12" ht="24.95" customHeight="1" x14ac:dyDescent="0.3">
      <c r="A7" s="59" t="s">
        <v>480</v>
      </c>
      <c r="B7" s="38">
        <v>400</v>
      </c>
      <c r="C7" s="38">
        <v>300</v>
      </c>
      <c r="D7" s="38">
        <v>400</v>
      </c>
      <c r="E7" s="38">
        <v>500</v>
      </c>
      <c r="F7" s="477">
        <v>600</v>
      </c>
      <c r="G7" s="477">
        <v>500</v>
      </c>
      <c r="H7" s="477">
        <v>600</v>
      </c>
      <c r="I7" s="477">
        <v>1200</v>
      </c>
      <c r="J7" s="477">
        <v>1200</v>
      </c>
      <c r="K7" s="477">
        <v>750</v>
      </c>
      <c r="L7" s="477">
        <v>500</v>
      </c>
    </row>
    <row r="8" spans="1:12" ht="24.95" hidden="1" customHeight="1" x14ac:dyDescent="0.3">
      <c r="A8" s="50" t="s">
        <v>262</v>
      </c>
      <c r="B8" s="45">
        <v>350</v>
      </c>
      <c r="C8" s="45">
        <v>350</v>
      </c>
      <c r="D8" s="45">
        <v>0</v>
      </c>
      <c r="E8" s="45">
        <v>0</v>
      </c>
      <c r="F8" s="529"/>
      <c r="G8" s="529"/>
      <c r="H8" s="529"/>
      <c r="I8" s="529"/>
      <c r="J8" s="529"/>
      <c r="K8" s="529"/>
      <c r="L8" s="529"/>
    </row>
    <row r="9" spans="1:12" ht="24.95" customHeight="1" x14ac:dyDescent="0.3">
      <c r="A9" s="106" t="s">
        <v>678</v>
      </c>
      <c r="B9" s="402">
        <v>800</v>
      </c>
      <c r="C9" s="402">
        <v>1000</v>
      </c>
      <c r="D9" s="402">
        <v>1200</v>
      </c>
      <c r="E9" s="402">
        <v>1200</v>
      </c>
      <c r="F9" s="522">
        <v>2500</v>
      </c>
      <c r="G9" s="522">
        <v>3000</v>
      </c>
      <c r="H9" s="522">
        <f>(250*6)+(250*4*6)+(55*4*6)</f>
        <v>8820</v>
      </c>
      <c r="I9" s="522">
        <f>(275*6)+(275*4*6)+(60*4*6)</f>
        <v>9690</v>
      </c>
      <c r="J9" s="522">
        <f>(275*6)+(350*4*6)+(75*4*6)</f>
        <v>11850</v>
      </c>
      <c r="K9" s="522">
        <f>(275*6)+(250*4*6)+(75*4*6)</f>
        <v>9450</v>
      </c>
      <c r="L9" s="522">
        <f>(275*6)+(250*4*6)+(75*4*6)</f>
        <v>9450</v>
      </c>
    </row>
    <row r="10" spans="1:12" ht="24.95" hidden="1" customHeight="1" x14ac:dyDescent="0.3">
      <c r="A10" s="106" t="s">
        <v>266</v>
      </c>
      <c r="B10" s="402"/>
      <c r="C10" s="402">
        <v>200</v>
      </c>
      <c r="D10" s="402">
        <v>200</v>
      </c>
      <c r="E10" s="402"/>
      <c r="F10" s="522"/>
      <c r="G10" s="522"/>
      <c r="H10" s="522"/>
      <c r="I10" s="522"/>
      <c r="J10" s="522"/>
      <c r="K10" s="522"/>
      <c r="L10" s="522"/>
    </row>
    <row r="11" spans="1:12" ht="24.95" hidden="1" customHeight="1" x14ac:dyDescent="0.3">
      <c r="A11" s="106" t="s">
        <v>264</v>
      </c>
      <c r="B11" s="402">
        <v>250</v>
      </c>
      <c r="C11" s="402">
        <v>200</v>
      </c>
      <c r="D11" s="402">
        <v>300</v>
      </c>
      <c r="E11" s="402">
        <v>300</v>
      </c>
      <c r="F11" s="522"/>
      <c r="G11" s="522"/>
      <c r="H11" s="522"/>
      <c r="I11" s="522"/>
      <c r="J11" s="522"/>
      <c r="K11" s="522"/>
      <c r="L11" s="522"/>
    </row>
    <row r="12" spans="1:12" ht="24.95" hidden="1" customHeight="1" x14ac:dyDescent="0.3">
      <c r="A12" s="106" t="s">
        <v>265</v>
      </c>
      <c r="B12" s="402">
        <v>400</v>
      </c>
      <c r="C12" s="402">
        <v>400</v>
      </c>
      <c r="D12" s="402">
        <v>400</v>
      </c>
      <c r="E12" s="402"/>
      <c r="F12" s="522"/>
      <c r="G12" s="522"/>
      <c r="H12" s="522"/>
      <c r="I12" s="522"/>
      <c r="J12" s="522"/>
      <c r="K12" s="522"/>
      <c r="L12" s="522"/>
    </row>
    <row r="13" spans="1:12" ht="24.95" customHeight="1" x14ac:dyDescent="0.3">
      <c r="A13" s="106" t="s">
        <v>479</v>
      </c>
      <c r="B13" s="402">
        <v>1400</v>
      </c>
      <c r="C13" s="402">
        <v>1200</v>
      </c>
      <c r="D13" s="402">
        <v>1200</v>
      </c>
      <c r="E13" s="402">
        <v>1200</v>
      </c>
      <c r="F13" s="522">
        <v>1000</v>
      </c>
      <c r="G13" s="522">
        <v>1000</v>
      </c>
      <c r="H13" s="522">
        <v>1000</v>
      </c>
      <c r="I13" s="522">
        <v>1000</v>
      </c>
      <c r="J13" s="522">
        <v>1000</v>
      </c>
      <c r="K13" s="522">
        <v>1000</v>
      </c>
      <c r="L13" s="522">
        <v>500</v>
      </c>
    </row>
    <row r="14" spans="1:12" ht="24.95" hidden="1" customHeight="1" x14ac:dyDescent="0.3">
      <c r="A14" s="651" t="s">
        <v>16</v>
      </c>
      <c r="B14" s="45">
        <v>500</v>
      </c>
      <c r="C14" s="45"/>
      <c r="D14" s="45"/>
      <c r="E14" s="402"/>
      <c r="F14" s="522"/>
      <c r="G14" s="522"/>
      <c r="H14" s="522"/>
      <c r="I14" s="522"/>
      <c r="J14" s="522"/>
      <c r="K14" s="522"/>
      <c r="L14" s="522"/>
    </row>
    <row r="15" spans="1:12" ht="24.95" customHeight="1" x14ac:dyDescent="0.3">
      <c r="A15" s="106" t="s">
        <v>481</v>
      </c>
      <c r="B15" s="402">
        <v>2600</v>
      </c>
      <c r="C15" s="402">
        <v>3000</v>
      </c>
      <c r="D15" s="402">
        <v>3000</v>
      </c>
      <c r="E15" s="402">
        <f>3200+6500</f>
        <v>9700</v>
      </c>
      <c r="F15" s="522">
        <v>12000</v>
      </c>
      <c r="G15" s="522">
        <v>13500</v>
      </c>
      <c r="H15" s="522">
        <v>14500</v>
      </c>
      <c r="I15" s="522">
        <v>17500</v>
      </c>
      <c r="J15" s="522">
        <v>17500</v>
      </c>
      <c r="K15" s="522">
        <v>15000</v>
      </c>
      <c r="L15" s="522">
        <v>15000</v>
      </c>
    </row>
    <row r="16" spans="1:12" ht="24.95" customHeight="1" x14ac:dyDescent="0.3">
      <c r="A16" s="360" t="s">
        <v>255</v>
      </c>
      <c r="B16" s="39">
        <v>1000</v>
      </c>
      <c r="C16" s="39">
        <v>750</v>
      </c>
      <c r="D16" s="39">
        <v>1000</v>
      </c>
      <c r="E16" s="249">
        <v>2200</v>
      </c>
      <c r="F16" s="479">
        <v>3000</v>
      </c>
      <c r="G16" s="479">
        <v>3000</v>
      </c>
      <c r="H16" s="479">
        <v>5000</v>
      </c>
      <c r="I16" s="479">
        <v>5000</v>
      </c>
      <c r="J16" s="479">
        <v>5000</v>
      </c>
      <c r="K16" s="479">
        <v>3000</v>
      </c>
      <c r="L16" s="479">
        <v>3000</v>
      </c>
    </row>
    <row r="17" spans="1:12" ht="24.95" customHeight="1" x14ac:dyDescent="0.3">
      <c r="A17" s="652" t="s">
        <v>447</v>
      </c>
      <c r="B17" s="39">
        <v>500</v>
      </c>
      <c r="C17" s="39"/>
      <c r="D17" s="39"/>
      <c r="E17" s="249"/>
      <c r="F17" s="479">
        <v>4000</v>
      </c>
      <c r="G17" s="479">
        <v>6000</v>
      </c>
      <c r="H17" s="479">
        <v>6000</v>
      </c>
      <c r="I17" s="479">
        <v>6000</v>
      </c>
      <c r="J17" s="479">
        <v>6500</v>
      </c>
      <c r="K17" s="479">
        <v>6500</v>
      </c>
      <c r="L17" s="479">
        <v>6500</v>
      </c>
    </row>
    <row r="18" spans="1:12" ht="24.95" customHeight="1" x14ac:dyDescent="0.3">
      <c r="A18" s="652" t="s">
        <v>613</v>
      </c>
      <c r="B18" s="39"/>
      <c r="C18" s="39"/>
      <c r="D18" s="39"/>
      <c r="E18" s="249"/>
      <c r="F18" s="479"/>
      <c r="G18" s="479"/>
      <c r="H18" s="479">
        <v>0</v>
      </c>
      <c r="I18" s="479">
        <v>0</v>
      </c>
      <c r="J18" s="479">
        <f>(800*3)+(175*6*3)+(225*3)</f>
        <v>6225</v>
      </c>
      <c r="K18" s="479">
        <f>(800*3)+(175*6*3)+(225*3)</f>
        <v>6225</v>
      </c>
      <c r="L18" s="479">
        <f>(800*3)+(175*6*3)+(225*3)</f>
        <v>6225</v>
      </c>
    </row>
    <row r="19" spans="1:12" ht="24.95" customHeight="1" x14ac:dyDescent="0.3">
      <c r="A19" s="651" t="s">
        <v>450</v>
      </c>
      <c r="B19" s="38"/>
      <c r="C19" s="38"/>
      <c r="D19" s="38"/>
      <c r="E19" s="38"/>
      <c r="F19" s="477">
        <v>1500</v>
      </c>
      <c r="G19" s="477">
        <v>2500</v>
      </c>
      <c r="H19" s="477">
        <v>3800</v>
      </c>
      <c r="I19" s="477">
        <v>3500</v>
      </c>
      <c r="J19" s="477">
        <f>(50*5)+(180*5)+(115*5*5)</f>
        <v>4025</v>
      </c>
      <c r="K19" s="477">
        <f>(50*5)+(180*5)+(115*5*5)</f>
        <v>4025</v>
      </c>
      <c r="L19" s="477">
        <f>(50*5)+(180*5)+(115*5*5)</f>
        <v>4025</v>
      </c>
    </row>
    <row r="20" spans="1:12" ht="24.95" customHeight="1" x14ac:dyDescent="0.3">
      <c r="A20" s="651" t="s">
        <v>499</v>
      </c>
      <c r="B20" s="38"/>
      <c r="C20" s="38"/>
      <c r="D20" s="38"/>
      <c r="E20" s="38"/>
      <c r="F20" s="477"/>
      <c r="G20" s="477">
        <f>(285*2)+(3*175*2)+(2*400)</f>
        <v>2420</v>
      </c>
      <c r="H20" s="477">
        <v>1500</v>
      </c>
      <c r="I20" s="477">
        <v>1200</v>
      </c>
      <c r="J20" s="477">
        <v>1200</v>
      </c>
      <c r="K20" s="477">
        <v>1500</v>
      </c>
      <c r="L20" s="477">
        <v>1500</v>
      </c>
    </row>
    <row r="21" spans="1:12" ht="24.95" customHeight="1" x14ac:dyDescent="0.3">
      <c r="A21" s="651" t="s">
        <v>504</v>
      </c>
      <c r="B21" s="38"/>
      <c r="C21" s="38"/>
      <c r="D21" s="38"/>
      <c r="E21" s="38"/>
      <c r="F21" s="477"/>
      <c r="G21" s="477"/>
      <c r="H21" s="477">
        <f>450+(200*2)+(60*3)</f>
        <v>1030</v>
      </c>
      <c r="I21" s="477">
        <f>475+(220*2)+(60*3)</f>
        <v>1095</v>
      </c>
      <c r="J21" s="477">
        <f>475+(250*2)+(65*3)</f>
        <v>1170</v>
      </c>
      <c r="K21" s="477">
        <f>475+(250*2)+(65*3)</f>
        <v>1170</v>
      </c>
      <c r="L21" s="477">
        <f>475+(275*3)+(75*3)</f>
        <v>1525</v>
      </c>
    </row>
    <row r="22" spans="1:12" ht="24.95" customHeight="1" thickBot="1" x14ac:dyDescent="0.35">
      <c r="A22" s="653"/>
      <c r="B22" s="39">
        <v>-4500</v>
      </c>
      <c r="C22" s="39"/>
      <c r="D22" s="39"/>
      <c r="E22" s="39"/>
      <c r="F22" s="478"/>
      <c r="G22" s="478"/>
      <c r="H22" s="478"/>
      <c r="I22" s="478"/>
      <c r="J22" s="478"/>
      <c r="K22" s="478"/>
      <c r="L22" s="478"/>
    </row>
    <row r="23" spans="1:12" ht="24.95" customHeight="1" x14ac:dyDescent="0.3">
      <c r="A23" s="179" t="s">
        <v>84</v>
      </c>
      <c r="B23" s="654">
        <f t="shared" ref="B23:H23" si="0">SUM(B3:B22)</f>
        <v>10900</v>
      </c>
      <c r="C23" s="654">
        <f t="shared" si="0"/>
        <v>16550</v>
      </c>
      <c r="D23" s="654">
        <f t="shared" si="0"/>
        <v>14300</v>
      </c>
      <c r="E23" s="654">
        <f t="shared" si="0"/>
        <v>25300</v>
      </c>
      <c r="F23" s="655">
        <f t="shared" si="0"/>
        <v>39200</v>
      </c>
      <c r="G23" s="655">
        <f>SUM(G3:G22)</f>
        <v>45420</v>
      </c>
      <c r="H23" s="655">
        <f t="shared" si="0"/>
        <v>56450</v>
      </c>
      <c r="I23" s="655">
        <f>SUM(I3:I22)</f>
        <v>59085</v>
      </c>
      <c r="J23" s="655">
        <f>SUM(J3:J22)</f>
        <v>71445</v>
      </c>
      <c r="K23" s="655">
        <f>SUM(K3:K22)</f>
        <v>64395</v>
      </c>
      <c r="L23" s="655">
        <f>SUM(L3:L22)</f>
        <v>61900</v>
      </c>
    </row>
    <row r="24" spans="1:12" x14ac:dyDescent="0.2">
      <c r="A24" s="218"/>
      <c r="B24" s="21"/>
      <c r="C24" s="21"/>
      <c r="D24" s="21"/>
      <c r="E24" s="21"/>
      <c r="F24" s="21"/>
      <c r="G24" s="21"/>
      <c r="H24" s="21"/>
      <c r="I24" s="206"/>
    </row>
  </sheetData>
  <sortState ref="A4:E5">
    <sortCondition ref="A4:A5"/>
  </sortState>
  <phoneticPr fontId="18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/>
  </sheetViews>
  <sheetFormatPr defaultColWidth="9.140625" defaultRowHeight="18.75" customHeight="1" x14ac:dyDescent="0.2"/>
  <cols>
    <col min="1" max="1" width="51.28515625" style="3" bestFit="1" customWidth="1"/>
    <col min="2" max="6" width="10.42578125" style="1" hidden="1" customWidth="1"/>
    <col min="7" max="8" width="11.7109375" style="1" hidden="1" customWidth="1"/>
    <col min="9" max="9" width="0" style="1" hidden="1" customWidth="1"/>
    <col min="10" max="16384" width="9.140625" style="1"/>
  </cols>
  <sheetData>
    <row r="1" spans="1:12" s="2" customFormat="1" ht="18.75" customHeight="1" x14ac:dyDescent="0.25">
      <c r="A1" s="217" t="s">
        <v>229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2.75" customHeight="1" x14ac:dyDescent="0.2">
      <c r="A2" s="28"/>
      <c r="B2" s="20"/>
      <c r="C2" s="20"/>
      <c r="D2" s="27"/>
      <c r="E2" s="305"/>
      <c r="F2" s="305"/>
      <c r="G2" s="305"/>
      <c r="H2" s="305"/>
      <c r="I2" s="305"/>
      <c r="J2" s="305"/>
      <c r="K2" s="305"/>
      <c r="L2" s="305"/>
    </row>
    <row r="3" spans="1:12" s="2" customFormat="1" ht="16.5" x14ac:dyDescent="0.3">
      <c r="A3" s="37" t="s">
        <v>86</v>
      </c>
      <c r="B3" s="95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s="6" customFormat="1" ht="16.5" x14ac:dyDescent="0.3">
      <c r="A4" s="97"/>
      <c r="B4" s="110"/>
      <c r="C4" s="110"/>
      <c r="D4" s="110"/>
      <c r="E4" s="110"/>
      <c r="F4" s="528"/>
      <c r="G4" s="528"/>
      <c r="H4" s="528"/>
      <c r="I4" s="528"/>
      <c r="J4" s="528"/>
      <c r="K4" s="528"/>
      <c r="L4" s="528"/>
    </row>
    <row r="5" spans="1:12" ht="18.75" customHeight="1" x14ac:dyDescent="0.3">
      <c r="A5" s="59" t="s">
        <v>220</v>
      </c>
      <c r="B5" s="45">
        <v>6925</v>
      </c>
      <c r="C5" s="45">
        <v>6500</v>
      </c>
      <c r="D5" s="45">
        <v>6500</v>
      </c>
      <c r="E5" s="45">
        <v>4500</v>
      </c>
      <c r="F5" s="529">
        <v>4500</v>
      </c>
      <c r="G5" s="529">
        <v>4100</v>
      </c>
      <c r="H5" s="529">
        <v>4100</v>
      </c>
      <c r="I5" s="529">
        <v>4000</v>
      </c>
      <c r="J5" s="529">
        <v>4000</v>
      </c>
      <c r="K5" s="529">
        <v>4000</v>
      </c>
      <c r="L5" s="529">
        <v>3700</v>
      </c>
    </row>
    <row r="6" spans="1:12" ht="18.75" customHeight="1" x14ac:dyDescent="0.3">
      <c r="A6" s="59" t="s">
        <v>543</v>
      </c>
      <c r="B6" s="32">
        <v>725</v>
      </c>
      <c r="C6" s="32">
        <v>1500</v>
      </c>
      <c r="D6" s="32">
        <v>1200</v>
      </c>
      <c r="E6" s="32">
        <v>1200</v>
      </c>
      <c r="F6" s="534">
        <v>1200</v>
      </c>
      <c r="G6" s="534">
        <v>1200</v>
      </c>
      <c r="H6" s="534">
        <v>1200</v>
      </c>
      <c r="I6" s="534">
        <v>1400</v>
      </c>
      <c r="J6" s="534">
        <v>1000</v>
      </c>
      <c r="K6" s="534">
        <v>1000</v>
      </c>
      <c r="L6" s="534">
        <v>1000</v>
      </c>
    </row>
    <row r="7" spans="1:12" ht="18.75" customHeight="1" x14ac:dyDescent="0.3">
      <c r="A7" s="59" t="s">
        <v>228</v>
      </c>
      <c r="B7" s="45">
        <v>4500</v>
      </c>
      <c r="C7" s="45">
        <v>3500</v>
      </c>
      <c r="D7" s="45">
        <v>3600</v>
      </c>
      <c r="E7" s="45">
        <v>3600</v>
      </c>
      <c r="F7" s="529">
        <v>3600</v>
      </c>
      <c r="G7" s="529">
        <v>3600</v>
      </c>
      <c r="H7" s="529">
        <v>3600</v>
      </c>
      <c r="I7" s="529">
        <v>4500</v>
      </c>
      <c r="J7" s="529">
        <v>4500</v>
      </c>
      <c r="K7" s="529">
        <v>4500</v>
      </c>
      <c r="L7" s="529">
        <v>4000</v>
      </c>
    </row>
    <row r="8" spans="1:12" s="2" customFormat="1" ht="18.75" customHeight="1" x14ac:dyDescent="0.3">
      <c r="A8" s="59" t="s">
        <v>247</v>
      </c>
      <c r="B8" s="45">
        <v>4000</v>
      </c>
      <c r="C8" s="45">
        <v>3000</v>
      </c>
      <c r="D8" s="45">
        <v>3000</v>
      </c>
      <c r="E8" s="45">
        <v>3000</v>
      </c>
      <c r="F8" s="529">
        <v>3000</v>
      </c>
      <c r="G8" s="529">
        <v>3000</v>
      </c>
      <c r="H8" s="529">
        <v>3000</v>
      </c>
      <c r="I8" s="529">
        <v>3500</v>
      </c>
      <c r="J8" s="529">
        <v>3500</v>
      </c>
      <c r="K8" s="529">
        <v>3500</v>
      </c>
      <c r="L8" s="529">
        <v>4000</v>
      </c>
    </row>
    <row r="9" spans="1:12" s="2" customFormat="1" ht="18.75" customHeight="1" x14ac:dyDescent="0.3">
      <c r="A9" s="59" t="s">
        <v>246</v>
      </c>
      <c r="B9" s="45">
        <v>2000</v>
      </c>
      <c r="C9" s="45">
        <v>2500</v>
      </c>
      <c r="D9" s="45">
        <v>2000</v>
      </c>
      <c r="E9" s="45">
        <v>2000</v>
      </c>
      <c r="F9" s="529">
        <v>2000</v>
      </c>
      <c r="G9" s="529">
        <v>2000</v>
      </c>
      <c r="H9" s="529">
        <v>2000</v>
      </c>
      <c r="I9" s="529">
        <v>2200</v>
      </c>
      <c r="J9" s="529">
        <v>2200</v>
      </c>
      <c r="K9" s="529">
        <v>2200</v>
      </c>
      <c r="L9" s="529">
        <v>2000</v>
      </c>
    </row>
    <row r="10" spans="1:12" s="2" customFormat="1" ht="18.75" customHeight="1" x14ac:dyDescent="0.3">
      <c r="A10" s="59" t="s">
        <v>219</v>
      </c>
      <c r="B10" s="32">
        <v>2000</v>
      </c>
      <c r="C10" s="32">
        <v>2000</v>
      </c>
      <c r="D10" s="32">
        <v>2000</v>
      </c>
      <c r="E10" s="32">
        <v>2000</v>
      </c>
      <c r="F10" s="534">
        <v>2000</v>
      </c>
      <c r="G10" s="534">
        <v>2000</v>
      </c>
      <c r="H10" s="534">
        <v>2000</v>
      </c>
      <c r="I10" s="534">
        <v>2000</v>
      </c>
      <c r="J10" s="534">
        <v>2000</v>
      </c>
      <c r="K10" s="534">
        <v>2000</v>
      </c>
      <c r="L10" s="534">
        <v>2000</v>
      </c>
    </row>
    <row r="11" spans="1:12" s="2" customFormat="1" ht="18.75" customHeight="1" x14ac:dyDescent="0.3">
      <c r="A11" s="59" t="s">
        <v>683</v>
      </c>
      <c r="B11" s="32">
        <v>2000</v>
      </c>
      <c r="C11" s="32">
        <v>2500</v>
      </c>
      <c r="D11" s="32">
        <v>2200</v>
      </c>
      <c r="E11" s="596">
        <v>2200</v>
      </c>
      <c r="F11" s="584">
        <v>3000</v>
      </c>
      <c r="G11" s="584">
        <v>3000</v>
      </c>
      <c r="H11" s="584">
        <v>3000</v>
      </c>
      <c r="I11" s="584">
        <v>3000</v>
      </c>
      <c r="J11" s="584">
        <v>3000</v>
      </c>
      <c r="K11" s="584">
        <v>3000</v>
      </c>
      <c r="L11" s="584">
        <v>7500</v>
      </c>
    </row>
    <row r="12" spans="1:12" s="2" customFormat="1" ht="18.75" customHeight="1" x14ac:dyDescent="0.3">
      <c r="A12" s="59" t="s">
        <v>67</v>
      </c>
      <c r="B12" s="45">
        <v>900</v>
      </c>
      <c r="C12" s="45">
        <v>800</v>
      </c>
      <c r="D12" s="45">
        <v>500</v>
      </c>
      <c r="E12" s="402">
        <v>1000</v>
      </c>
      <c r="F12" s="522">
        <v>1000</v>
      </c>
      <c r="G12" s="522">
        <v>1000</v>
      </c>
      <c r="H12" s="522">
        <v>1000</v>
      </c>
      <c r="I12" s="522">
        <v>1200</v>
      </c>
      <c r="J12" s="522">
        <f>1200+7000</f>
        <v>8200</v>
      </c>
      <c r="K12" s="522">
        <f>1200+7000</f>
        <v>8200</v>
      </c>
      <c r="L12" s="522">
        <f>7000</f>
        <v>7000</v>
      </c>
    </row>
    <row r="13" spans="1:12" ht="18.75" hidden="1" customHeight="1" x14ac:dyDescent="0.3">
      <c r="A13" s="59" t="s">
        <v>226</v>
      </c>
      <c r="B13" s="45">
        <v>34400</v>
      </c>
      <c r="C13" s="45"/>
      <c r="D13" s="45"/>
      <c r="E13" s="402"/>
      <c r="F13" s="522"/>
      <c r="G13" s="522"/>
      <c r="H13" s="522"/>
      <c r="I13" s="522"/>
      <c r="J13" s="522"/>
      <c r="K13" s="522"/>
      <c r="L13" s="522"/>
    </row>
    <row r="14" spans="1:12" ht="18.75" hidden="1" customHeight="1" x14ac:dyDescent="0.3">
      <c r="A14" s="59" t="s">
        <v>244</v>
      </c>
      <c r="B14" s="45">
        <v>21840</v>
      </c>
      <c r="C14" s="45"/>
      <c r="D14" s="45"/>
      <c r="E14" s="402"/>
      <c r="F14" s="522"/>
      <c r="G14" s="522"/>
      <c r="H14" s="522"/>
      <c r="I14" s="522"/>
      <c r="J14" s="522"/>
      <c r="K14" s="522"/>
      <c r="L14" s="522"/>
    </row>
    <row r="15" spans="1:12" ht="18.75" customHeight="1" x14ac:dyDescent="0.3">
      <c r="A15" s="59" t="s">
        <v>511</v>
      </c>
      <c r="B15" s="45">
        <v>7875</v>
      </c>
      <c r="C15" s="45">
        <v>10000</v>
      </c>
      <c r="D15" s="45">
        <v>11000</v>
      </c>
      <c r="E15" s="402">
        <v>10000</v>
      </c>
      <c r="F15" s="522">
        <v>12000</v>
      </c>
      <c r="G15" s="522">
        <v>14000</v>
      </c>
      <c r="H15" s="522">
        <v>14000</v>
      </c>
      <c r="I15" s="522">
        <v>9800</v>
      </c>
      <c r="J15" s="522">
        <v>12000</v>
      </c>
      <c r="K15" s="522">
        <v>12000</v>
      </c>
      <c r="L15" s="522">
        <v>12000</v>
      </c>
    </row>
    <row r="16" spans="1:12" ht="18.75" customHeight="1" x14ac:dyDescent="0.3">
      <c r="A16" s="59" t="s">
        <v>409</v>
      </c>
      <c r="B16" s="45">
        <v>6500</v>
      </c>
      <c r="C16" s="45">
        <v>6000</v>
      </c>
      <c r="D16" s="45">
        <v>6000</v>
      </c>
      <c r="E16" s="402">
        <v>4000</v>
      </c>
      <c r="F16" s="522">
        <v>4000</v>
      </c>
      <c r="G16" s="522">
        <v>4000</v>
      </c>
      <c r="H16" s="522">
        <v>5000</v>
      </c>
      <c r="I16" s="522">
        <v>5000</v>
      </c>
      <c r="J16" s="522">
        <v>5000</v>
      </c>
      <c r="K16" s="522">
        <v>5000</v>
      </c>
      <c r="L16" s="522">
        <v>5000</v>
      </c>
    </row>
    <row r="17" spans="1:12" ht="18.75" hidden="1" customHeight="1" x14ac:dyDescent="0.3">
      <c r="A17" s="59" t="s">
        <v>240</v>
      </c>
      <c r="B17" s="45">
        <v>500</v>
      </c>
      <c r="C17" s="45"/>
      <c r="D17" s="45"/>
      <c r="E17" s="402"/>
      <c r="F17" s="522"/>
      <c r="G17" s="522"/>
      <c r="H17" s="522"/>
      <c r="I17" s="522"/>
      <c r="J17" s="522"/>
      <c r="K17" s="522"/>
      <c r="L17" s="522"/>
    </row>
    <row r="18" spans="1:12" ht="18.75" hidden="1" customHeight="1" x14ac:dyDescent="0.3">
      <c r="A18" s="59" t="s">
        <v>216</v>
      </c>
      <c r="B18" s="45">
        <v>1250</v>
      </c>
      <c r="C18" s="45"/>
      <c r="D18" s="45"/>
      <c r="E18" s="402"/>
      <c r="F18" s="522"/>
      <c r="G18" s="522"/>
      <c r="H18" s="522"/>
      <c r="I18" s="522"/>
      <c r="J18" s="522"/>
      <c r="K18" s="522"/>
      <c r="L18" s="522"/>
    </row>
    <row r="19" spans="1:12" ht="18.75" customHeight="1" x14ac:dyDescent="0.3">
      <c r="A19" s="59" t="s">
        <v>522</v>
      </c>
      <c r="B19" s="45"/>
      <c r="C19" s="45">
        <v>1200</v>
      </c>
      <c r="D19" s="45">
        <v>1200</v>
      </c>
      <c r="E19" s="402">
        <v>600</v>
      </c>
      <c r="F19" s="522">
        <v>600</v>
      </c>
      <c r="G19" s="522">
        <v>600</v>
      </c>
      <c r="H19" s="522">
        <v>600</v>
      </c>
      <c r="I19" s="522">
        <v>750</v>
      </c>
      <c r="J19" s="522">
        <v>750</v>
      </c>
      <c r="K19" s="522">
        <v>750</v>
      </c>
      <c r="L19" s="522">
        <v>750</v>
      </c>
    </row>
    <row r="20" spans="1:12" ht="18.75" customHeight="1" x14ac:dyDescent="0.3">
      <c r="A20" s="59" t="s">
        <v>217</v>
      </c>
      <c r="B20" s="45">
        <v>5367</v>
      </c>
      <c r="C20" s="45">
        <v>2500</v>
      </c>
      <c r="D20" s="45">
        <v>2000</v>
      </c>
      <c r="E20" s="402">
        <v>2500</v>
      </c>
      <c r="F20" s="522">
        <v>2500</v>
      </c>
      <c r="G20" s="522">
        <v>2500</v>
      </c>
      <c r="H20" s="522">
        <v>1500</v>
      </c>
      <c r="I20" s="522">
        <v>1500</v>
      </c>
      <c r="J20" s="522">
        <v>1500</v>
      </c>
      <c r="K20" s="522">
        <v>1500</v>
      </c>
      <c r="L20" s="522">
        <v>1500</v>
      </c>
    </row>
    <row r="21" spans="1:12" ht="18.75" customHeight="1" x14ac:dyDescent="0.3">
      <c r="A21" s="59" t="s">
        <v>227</v>
      </c>
      <c r="B21" s="45">
        <v>250</v>
      </c>
      <c r="C21" s="45">
        <v>650</v>
      </c>
      <c r="D21" s="45">
        <v>650</v>
      </c>
      <c r="E21" s="402">
        <v>750</v>
      </c>
      <c r="F21" s="522">
        <v>750</v>
      </c>
      <c r="G21" s="522">
        <v>750</v>
      </c>
      <c r="H21" s="522">
        <v>750</v>
      </c>
      <c r="I21" s="522">
        <v>1000</v>
      </c>
      <c r="J21" s="522">
        <v>1000</v>
      </c>
      <c r="K21" s="522">
        <v>1000</v>
      </c>
      <c r="L21" s="522">
        <v>1000</v>
      </c>
    </row>
    <row r="22" spans="1:12" ht="18.75" hidden="1" customHeight="1" x14ac:dyDescent="0.3">
      <c r="A22" s="59" t="s">
        <v>245</v>
      </c>
      <c r="B22" s="45">
        <v>2000</v>
      </c>
      <c r="C22" s="45">
        <v>1000</v>
      </c>
      <c r="D22" s="45">
        <v>750</v>
      </c>
      <c r="E22" s="45" t="s">
        <v>408</v>
      </c>
      <c r="F22" s="529" t="s">
        <v>408</v>
      </c>
      <c r="G22" s="529"/>
      <c r="H22" s="529"/>
      <c r="I22" s="529"/>
      <c r="J22" s="529"/>
      <c r="K22" s="529"/>
      <c r="L22" s="529"/>
    </row>
    <row r="23" spans="1:12" ht="18.75" customHeight="1" x14ac:dyDescent="0.3">
      <c r="A23" s="59" t="s">
        <v>294</v>
      </c>
      <c r="B23" s="45">
        <v>700</v>
      </c>
      <c r="C23" s="45">
        <v>750</v>
      </c>
      <c r="D23" s="45">
        <v>750</v>
      </c>
      <c r="E23" s="45">
        <v>750</v>
      </c>
      <c r="F23" s="529">
        <v>750</v>
      </c>
      <c r="G23" s="529">
        <v>750</v>
      </c>
      <c r="H23" s="529">
        <v>750</v>
      </c>
      <c r="I23" s="529">
        <v>3000</v>
      </c>
      <c r="J23" s="529">
        <v>3000</v>
      </c>
      <c r="K23" s="529">
        <v>4000</v>
      </c>
      <c r="L23" s="529">
        <v>2500</v>
      </c>
    </row>
    <row r="24" spans="1:12" ht="18.75" customHeight="1" x14ac:dyDescent="0.3">
      <c r="A24" s="59" t="s">
        <v>665</v>
      </c>
      <c r="B24" s="45">
        <v>10625</v>
      </c>
      <c r="C24" s="45">
        <v>2500</v>
      </c>
      <c r="D24" s="45">
        <v>3500</v>
      </c>
      <c r="E24" s="45">
        <v>0</v>
      </c>
      <c r="F24" s="529">
        <v>0</v>
      </c>
      <c r="G24" s="529">
        <v>0</v>
      </c>
      <c r="H24" s="529">
        <v>0</v>
      </c>
      <c r="I24" s="529">
        <v>0</v>
      </c>
      <c r="J24" s="529">
        <v>0</v>
      </c>
      <c r="K24" s="529">
        <f>680*25</f>
        <v>17000</v>
      </c>
      <c r="L24" s="529">
        <f>20*900</f>
        <v>18000</v>
      </c>
    </row>
    <row r="25" spans="1:12" ht="18.75" hidden="1" customHeight="1" x14ac:dyDescent="0.3">
      <c r="A25" s="59" t="s">
        <v>68</v>
      </c>
      <c r="B25" s="45">
        <v>4725</v>
      </c>
      <c r="C25" s="45">
        <v>5700</v>
      </c>
      <c r="D25" s="45">
        <v>6200</v>
      </c>
      <c r="E25" s="402">
        <v>15000</v>
      </c>
      <c r="F25" s="522">
        <v>15000</v>
      </c>
      <c r="G25" s="522">
        <v>0</v>
      </c>
      <c r="H25" s="522">
        <v>0</v>
      </c>
      <c r="I25" s="522">
        <v>0</v>
      </c>
      <c r="J25" s="522">
        <v>0</v>
      </c>
      <c r="K25" s="522">
        <v>0</v>
      </c>
      <c r="L25" s="522">
        <v>0</v>
      </c>
    </row>
    <row r="26" spans="1:12" ht="18.75" customHeight="1" x14ac:dyDescent="0.3">
      <c r="A26" s="59" t="s">
        <v>69</v>
      </c>
      <c r="B26" s="45">
        <v>200</v>
      </c>
      <c r="C26" s="45">
        <v>250</v>
      </c>
      <c r="D26" s="45">
        <v>350</v>
      </c>
      <c r="E26" s="45">
        <v>400</v>
      </c>
      <c r="F26" s="529">
        <v>400</v>
      </c>
      <c r="G26" s="529">
        <v>400</v>
      </c>
      <c r="H26" s="529">
        <v>800</v>
      </c>
      <c r="I26" s="529">
        <v>800</v>
      </c>
      <c r="J26" s="529">
        <v>800</v>
      </c>
      <c r="K26" s="529">
        <v>800</v>
      </c>
      <c r="L26" s="529">
        <v>1200</v>
      </c>
    </row>
    <row r="27" spans="1:12" ht="18.75" customHeight="1" x14ac:dyDescent="0.3">
      <c r="A27" s="59" t="s">
        <v>218</v>
      </c>
      <c r="B27" s="45">
        <v>3000</v>
      </c>
      <c r="C27" s="45">
        <v>3500</v>
      </c>
      <c r="D27" s="45">
        <v>3500</v>
      </c>
      <c r="E27" s="45">
        <v>2500</v>
      </c>
      <c r="F27" s="529">
        <v>2500</v>
      </c>
      <c r="G27" s="529">
        <v>2500</v>
      </c>
      <c r="H27" s="529">
        <v>2500</v>
      </c>
      <c r="I27" s="529">
        <v>2500</v>
      </c>
      <c r="J27" s="529">
        <f>75*34</f>
        <v>2550</v>
      </c>
      <c r="K27" s="529">
        <f>75*35</f>
        <v>2625</v>
      </c>
      <c r="L27" s="529">
        <f>75*35</f>
        <v>2625</v>
      </c>
    </row>
    <row r="28" spans="1:12" ht="18.75" customHeight="1" x14ac:dyDescent="0.3">
      <c r="A28" s="59" t="s">
        <v>484</v>
      </c>
      <c r="B28" s="45"/>
      <c r="C28" s="45"/>
      <c r="D28" s="45"/>
      <c r="E28" s="45"/>
      <c r="F28" s="529"/>
      <c r="G28" s="529">
        <v>4000</v>
      </c>
      <c r="H28" s="529">
        <v>7000</v>
      </c>
      <c r="I28" s="529">
        <v>7000</v>
      </c>
      <c r="J28" s="529">
        <v>7000</v>
      </c>
      <c r="K28" s="529">
        <v>8000</v>
      </c>
      <c r="L28" s="522">
        <v>10000</v>
      </c>
    </row>
    <row r="29" spans="1:12" ht="18.75" customHeight="1" x14ac:dyDescent="0.3">
      <c r="A29" s="59" t="s">
        <v>512</v>
      </c>
      <c r="B29" s="45"/>
      <c r="C29" s="45"/>
      <c r="D29" s="45"/>
      <c r="E29" s="45"/>
      <c r="F29" s="529">
        <v>0</v>
      </c>
      <c r="G29" s="529">
        <v>0</v>
      </c>
      <c r="H29" s="529">
        <v>2000</v>
      </c>
      <c r="I29" s="529">
        <v>1000</v>
      </c>
      <c r="J29" s="529">
        <v>1000</v>
      </c>
      <c r="K29" s="529">
        <v>1000</v>
      </c>
      <c r="L29" s="529">
        <v>800</v>
      </c>
    </row>
    <row r="30" spans="1:12" ht="18.75" hidden="1" customHeight="1" x14ac:dyDescent="0.3">
      <c r="A30" s="59" t="s">
        <v>513</v>
      </c>
      <c r="B30" s="45"/>
      <c r="C30" s="45"/>
      <c r="D30" s="45"/>
      <c r="E30" s="45"/>
      <c r="F30" s="529">
        <v>0</v>
      </c>
      <c r="G30" s="529">
        <v>0</v>
      </c>
      <c r="H30" s="529">
        <v>2500</v>
      </c>
      <c r="I30" s="529">
        <v>0</v>
      </c>
      <c r="J30" s="529">
        <v>0</v>
      </c>
      <c r="K30" s="529">
        <v>0</v>
      </c>
      <c r="L30" s="529">
        <v>0</v>
      </c>
    </row>
    <row r="31" spans="1:12" ht="18.75" customHeight="1" x14ac:dyDescent="0.3">
      <c r="A31" s="59" t="s">
        <v>544</v>
      </c>
      <c r="B31" s="45"/>
      <c r="C31" s="45"/>
      <c r="D31" s="45"/>
      <c r="E31" s="45"/>
      <c r="F31" s="529"/>
      <c r="G31" s="529"/>
      <c r="H31" s="529"/>
      <c r="I31" s="529">
        <v>1500</v>
      </c>
      <c r="J31" s="529">
        <v>750</v>
      </c>
      <c r="K31" s="529">
        <v>750</v>
      </c>
      <c r="L31" s="529">
        <v>750</v>
      </c>
    </row>
    <row r="32" spans="1:12" ht="18.75" customHeight="1" thickBot="1" x14ac:dyDescent="0.35">
      <c r="A32" s="59"/>
      <c r="B32" s="45"/>
      <c r="C32" s="45"/>
      <c r="D32" s="45"/>
      <c r="E32" s="45"/>
      <c r="F32" s="529"/>
      <c r="G32" s="529"/>
      <c r="H32" s="529"/>
      <c r="I32" s="529"/>
      <c r="J32" s="529"/>
      <c r="K32" s="529"/>
      <c r="L32" s="529"/>
    </row>
    <row r="33" spans="1:12" ht="18.75" customHeight="1" thickTop="1" x14ac:dyDescent="0.3">
      <c r="A33" s="179" t="s">
        <v>84</v>
      </c>
      <c r="B33" s="85">
        <f t="shared" ref="B33:H33" si="0">SUM(B4:B32)</f>
        <v>122282</v>
      </c>
      <c r="C33" s="85">
        <f t="shared" si="0"/>
        <v>56350</v>
      </c>
      <c r="D33" s="85">
        <f t="shared" si="0"/>
        <v>56900</v>
      </c>
      <c r="E33" s="85">
        <f t="shared" si="0"/>
        <v>56000</v>
      </c>
      <c r="F33" s="561">
        <f t="shared" si="0"/>
        <v>58800</v>
      </c>
      <c r="G33" s="561">
        <f t="shared" si="0"/>
        <v>49400</v>
      </c>
      <c r="H33" s="561">
        <f t="shared" si="0"/>
        <v>57300</v>
      </c>
      <c r="I33" s="561">
        <f>SUM(I4:I32)</f>
        <v>55650</v>
      </c>
      <c r="J33" s="561">
        <f>SUM(J4:J32)</f>
        <v>63750</v>
      </c>
      <c r="K33" s="561">
        <f>SUM(K4:K32)</f>
        <v>82825</v>
      </c>
      <c r="L33" s="561">
        <f>SUM(L4:L32)</f>
        <v>87325</v>
      </c>
    </row>
    <row r="34" spans="1:12" ht="18.75" customHeight="1" x14ac:dyDescent="0.2">
      <c r="A34" s="123"/>
      <c r="B34" s="92"/>
      <c r="C34" s="92"/>
    </row>
    <row r="35" spans="1:12" ht="18.75" customHeight="1" x14ac:dyDescent="0.2">
      <c r="A35" s="728"/>
    </row>
  </sheetData>
  <sortState ref="A6:E27">
    <sortCondition ref="A6:A27"/>
  </sortState>
  <phoneticPr fontId="18" type="noConversion"/>
  <printOptions horizontalCentered="1"/>
  <pageMargins left="0.75" right="0.5" top="0.75" bottom="0.5" header="0.5" footer="0.5"/>
  <pageSetup orientation="portrait" r:id="rId1"/>
  <headerFooter alignWithMargins="0"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/>
  </sheetViews>
  <sheetFormatPr defaultColWidth="9.140625" defaultRowHeight="18.75" customHeight="1" x14ac:dyDescent="0.3"/>
  <cols>
    <col min="1" max="1" width="34" style="93" bestFit="1" customWidth="1"/>
    <col min="2" max="2" width="13.140625" style="24" hidden="1" customWidth="1"/>
    <col min="3" max="4" width="11.7109375" style="24" hidden="1" customWidth="1"/>
    <col min="5" max="8" width="11" style="24" hidden="1" customWidth="1"/>
    <col min="9" max="9" width="0" style="24" hidden="1" customWidth="1"/>
    <col min="10" max="16384" width="9.140625" style="24"/>
  </cols>
  <sheetData>
    <row r="1" spans="1:12" s="42" customFormat="1" ht="21.75" customHeight="1" x14ac:dyDescent="0.3">
      <c r="A1" s="217" t="s">
        <v>237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2.75" customHeight="1" x14ac:dyDescent="0.3">
      <c r="A2" s="9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42" customFormat="1" ht="18.75" customHeight="1" x14ac:dyDescent="0.3">
      <c r="A3" s="37" t="s">
        <v>86</v>
      </c>
      <c r="B3" s="95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s="119" customFormat="1" ht="16.5" customHeight="1" x14ac:dyDescent="0.3">
      <c r="A4" s="94"/>
      <c r="B4" s="126"/>
      <c r="C4" s="126"/>
      <c r="D4" s="126"/>
      <c r="E4" s="126"/>
      <c r="F4" s="528"/>
      <c r="G4" s="528"/>
      <c r="H4" s="528"/>
      <c r="I4" s="528"/>
      <c r="J4" s="528"/>
      <c r="K4" s="528"/>
      <c r="L4" s="528"/>
    </row>
    <row r="5" spans="1:12" s="119" customFormat="1" ht="15.75" customHeight="1" x14ac:dyDescent="0.3">
      <c r="A5" s="112" t="s">
        <v>243</v>
      </c>
      <c r="B5" s="126"/>
      <c r="C5" s="126"/>
      <c r="D5" s="126"/>
      <c r="E5" s="126"/>
      <c r="F5" s="528"/>
      <c r="G5" s="528"/>
      <c r="H5" s="528"/>
      <c r="I5" s="528"/>
      <c r="J5" s="528"/>
      <c r="K5" s="528"/>
      <c r="L5" s="528"/>
    </row>
    <row r="6" spans="1:12" s="42" customFormat="1" ht="18.75" customHeight="1" x14ac:dyDescent="0.3">
      <c r="A6" s="59" t="s">
        <v>238</v>
      </c>
      <c r="B6" s="49">
        <v>4300</v>
      </c>
      <c r="C6" s="49">
        <v>5600</v>
      </c>
      <c r="D6" s="49">
        <f>100*52</f>
        <v>5200</v>
      </c>
      <c r="E6" s="49">
        <v>3500</v>
      </c>
      <c r="F6" s="529">
        <v>2000</v>
      </c>
      <c r="G6" s="529">
        <v>3000</v>
      </c>
      <c r="H6" s="529">
        <v>3000</v>
      </c>
      <c r="I6" s="529">
        <v>4500</v>
      </c>
      <c r="J6" s="529">
        <v>5000</v>
      </c>
      <c r="K6" s="529">
        <v>5000</v>
      </c>
      <c r="L6" s="529">
        <v>5000</v>
      </c>
    </row>
    <row r="7" spans="1:12" s="42" customFormat="1" ht="18.75" hidden="1" customHeight="1" x14ac:dyDescent="0.3">
      <c r="A7" s="59" t="s">
        <v>271</v>
      </c>
      <c r="B7" s="49">
        <v>15000</v>
      </c>
      <c r="C7" s="49"/>
      <c r="D7" s="49"/>
      <c r="E7" s="49"/>
      <c r="F7" s="529"/>
      <c r="G7" s="529"/>
      <c r="H7" s="529"/>
      <c r="I7" s="529"/>
      <c r="J7" s="529"/>
      <c r="K7" s="529"/>
      <c r="L7" s="529"/>
    </row>
    <row r="8" spans="1:12" s="42" customFormat="1" ht="18.75" hidden="1" customHeight="1" x14ac:dyDescent="0.3">
      <c r="A8" s="59" t="s">
        <v>295</v>
      </c>
      <c r="B8" s="49"/>
      <c r="C8" s="49"/>
      <c r="D8" s="49"/>
      <c r="E8" s="49"/>
      <c r="F8" s="529"/>
      <c r="G8" s="529"/>
      <c r="H8" s="529"/>
      <c r="I8" s="529"/>
      <c r="J8" s="529"/>
      <c r="K8" s="529"/>
      <c r="L8" s="529"/>
    </row>
    <row r="9" spans="1:12" ht="18.75" customHeight="1" x14ac:dyDescent="0.3">
      <c r="A9" s="59" t="s">
        <v>224</v>
      </c>
      <c r="B9" s="49">
        <v>1000</v>
      </c>
      <c r="C9" s="49">
        <v>450</v>
      </c>
      <c r="D9" s="49">
        <v>200</v>
      </c>
      <c r="E9" s="49">
        <v>200</v>
      </c>
      <c r="F9" s="529">
        <v>200</v>
      </c>
      <c r="G9" s="529">
        <v>300</v>
      </c>
      <c r="H9" s="529">
        <v>300</v>
      </c>
      <c r="I9" s="529">
        <v>450</v>
      </c>
      <c r="J9" s="529">
        <v>450</v>
      </c>
      <c r="K9" s="529">
        <v>450</v>
      </c>
      <c r="L9" s="529">
        <v>450</v>
      </c>
    </row>
    <row r="10" spans="1:12" ht="18.75" customHeight="1" x14ac:dyDescent="0.3">
      <c r="A10" s="59" t="s">
        <v>223</v>
      </c>
      <c r="B10" s="49">
        <v>1500</v>
      </c>
      <c r="C10" s="49">
        <v>1000</v>
      </c>
      <c r="D10" s="49">
        <v>1500</v>
      </c>
      <c r="E10" s="49">
        <v>1000</v>
      </c>
      <c r="F10" s="529">
        <v>1000</v>
      </c>
      <c r="G10" s="529">
        <v>1000</v>
      </c>
      <c r="H10" s="529">
        <v>1000</v>
      </c>
      <c r="I10" s="529">
        <v>1200</v>
      </c>
      <c r="J10" s="529">
        <v>1200</v>
      </c>
      <c r="K10" s="529">
        <v>1200</v>
      </c>
      <c r="L10" s="529">
        <v>1200</v>
      </c>
    </row>
    <row r="11" spans="1:12" ht="18.75" hidden="1" customHeight="1" x14ac:dyDescent="0.3">
      <c r="A11" s="59" t="s">
        <v>240</v>
      </c>
      <c r="B11" s="49">
        <v>600</v>
      </c>
      <c r="C11" s="49"/>
      <c r="D11" s="49"/>
      <c r="E11" s="49"/>
      <c r="F11" s="529"/>
      <c r="G11" s="529"/>
      <c r="H11" s="529"/>
      <c r="I11" s="529"/>
      <c r="J11" s="529"/>
      <c r="K11" s="529"/>
      <c r="L11" s="529"/>
    </row>
    <row r="12" spans="1:12" ht="18.75" hidden="1" customHeight="1" x14ac:dyDescent="0.3">
      <c r="A12" s="59" t="s">
        <v>242</v>
      </c>
      <c r="B12" s="49">
        <v>500</v>
      </c>
      <c r="C12" s="49"/>
      <c r="D12" s="49"/>
      <c r="E12" s="49"/>
      <c r="F12" s="529"/>
      <c r="G12" s="529"/>
      <c r="H12" s="529"/>
      <c r="I12" s="529"/>
      <c r="J12" s="529"/>
      <c r="K12" s="529"/>
      <c r="L12" s="529"/>
    </row>
    <row r="13" spans="1:12" ht="18.75" customHeight="1" x14ac:dyDescent="0.3">
      <c r="A13" s="59" t="s">
        <v>241</v>
      </c>
      <c r="B13" s="49">
        <v>900</v>
      </c>
      <c r="C13" s="49">
        <v>850</v>
      </c>
      <c r="D13" s="49">
        <v>850</v>
      </c>
      <c r="E13" s="49">
        <v>500</v>
      </c>
      <c r="F13" s="529">
        <v>500</v>
      </c>
      <c r="G13" s="529">
        <v>500</v>
      </c>
      <c r="H13" s="529">
        <v>500</v>
      </c>
      <c r="I13" s="529">
        <v>500</v>
      </c>
      <c r="J13" s="529">
        <v>600</v>
      </c>
      <c r="K13" s="529">
        <v>600</v>
      </c>
      <c r="L13" s="529">
        <v>600</v>
      </c>
    </row>
    <row r="14" spans="1:12" ht="18.75" customHeight="1" x14ac:dyDescent="0.3">
      <c r="A14" s="59" t="s">
        <v>239</v>
      </c>
      <c r="B14" s="49">
        <v>2000</v>
      </c>
      <c r="C14" s="49">
        <v>1000</v>
      </c>
      <c r="D14" s="49">
        <v>1500</v>
      </c>
      <c r="E14" s="49">
        <v>4500</v>
      </c>
      <c r="F14" s="529">
        <v>2500</v>
      </c>
      <c r="G14" s="529">
        <v>4500</v>
      </c>
      <c r="H14" s="529">
        <v>10000</v>
      </c>
      <c r="I14" s="529">
        <v>10000</v>
      </c>
      <c r="J14" s="529">
        <v>10000</v>
      </c>
      <c r="K14" s="529">
        <v>10000</v>
      </c>
      <c r="L14" s="529">
        <v>10000</v>
      </c>
    </row>
    <row r="15" spans="1:12" ht="18.75" customHeight="1" x14ac:dyDescent="0.3">
      <c r="A15" s="411" t="s">
        <v>439</v>
      </c>
      <c r="B15" s="648"/>
      <c r="C15" s="49"/>
      <c r="D15" s="49"/>
      <c r="E15" s="49">
        <f>150*40</f>
        <v>6000</v>
      </c>
      <c r="F15" s="529">
        <v>5000</v>
      </c>
      <c r="G15" s="529">
        <v>4500</v>
      </c>
      <c r="H15" s="529">
        <v>4500</v>
      </c>
      <c r="I15" s="529">
        <v>3800</v>
      </c>
      <c r="J15" s="529">
        <v>4000</v>
      </c>
      <c r="K15" s="529">
        <v>4000</v>
      </c>
      <c r="L15" s="529">
        <v>4000</v>
      </c>
    </row>
    <row r="16" spans="1:12" ht="18.75" customHeight="1" x14ac:dyDescent="0.3">
      <c r="A16" s="317"/>
      <c r="B16" s="648"/>
      <c r="C16" s="49"/>
      <c r="D16" s="49"/>
      <c r="E16" s="49"/>
      <c r="F16" s="529"/>
      <c r="G16" s="529"/>
      <c r="H16" s="529"/>
      <c r="I16" s="529"/>
      <c r="J16" s="529"/>
      <c r="K16" s="529"/>
      <c r="L16" s="529"/>
    </row>
    <row r="17" spans="1:12" ht="16.5" customHeight="1" x14ac:dyDescent="0.3">
      <c r="A17" s="51"/>
      <c r="B17" s="49"/>
      <c r="C17" s="49"/>
      <c r="D17" s="49"/>
      <c r="E17" s="49"/>
      <c r="F17" s="529"/>
      <c r="G17" s="529"/>
      <c r="H17" s="529"/>
      <c r="I17" s="529"/>
      <c r="J17" s="529"/>
      <c r="K17" s="529"/>
      <c r="L17" s="529"/>
    </row>
    <row r="18" spans="1:12" ht="16.5" customHeight="1" thickBot="1" x14ac:dyDescent="0.35">
      <c r="A18" s="244"/>
      <c r="B18" s="62"/>
      <c r="C18" s="649"/>
      <c r="D18" s="649"/>
      <c r="E18" s="649"/>
      <c r="F18" s="560"/>
      <c r="G18" s="560"/>
      <c r="H18" s="560"/>
      <c r="I18" s="560"/>
      <c r="J18" s="560"/>
      <c r="K18" s="560"/>
      <c r="L18" s="560"/>
    </row>
    <row r="19" spans="1:12" ht="18.75" customHeight="1" thickTop="1" x14ac:dyDescent="0.3">
      <c r="A19" s="99" t="s">
        <v>84</v>
      </c>
      <c r="B19" s="650">
        <f>SUM(B4:B18)</f>
        <v>25800</v>
      </c>
      <c r="C19" s="650">
        <f>SUM(C4:C18)</f>
        <v>8900</v>
      </c>
      <c r="D19" s="650">
        <f>SUM(D4:D18)</f>
        <v>9250</v>
      </c>
      <c r="E19" s="650">
        <f t="shared" ref="E19:J19" si="0">SUM(E4:E18)</f>
        <v>15700</v>
      </c>
      <c r="F19" s="561">
        <f t="shared" si="0"/>
        <v>11200</v>
      </c>
      <c r="G19" s="561">
        <f t="shared" si="0"/>
        <v>13800</v>
      </c>
      <c r="H19" s="561">
        <f t="shared" si="0"/>
        <v>19300</v>
      </c>
      <c r="I19" s="561">
        <f t="shared" si="0"/>
        <v>20450</v>
      </c>
      <c r="J19" s="561">
        <f t="shared" si="0"/>
        <v>21250</v>
      </c>
      <c r="K19" s="561">
        <f>SUM(K4:K18)</f>
        <v>21250</v>
      </c>
      <c r="L19" s="561">
        <f>SUM(L4:L18)</f>
        <v>21250</v>
      </c>
    </row>
    <row r="20" spans="1:12" ht="8.25" customHeight="1" x14ac:dyDescent="0.3"/>
    <row r="21" spans="1:12" ht="15" customHeight="1" x14ac:dyDescent="0.3">
      <c r="A21"/>
      <c r="B21"/>
      <c r="C21"/>
      <c r="D21"/>
      <c r="E21"/>
      <c r="F21"/>
      <c r="G21"/>
      <c r="H21"/>
    </row>
    <row r="22" spans="1:12" ht="15" customHeight="1" x14ac:dyDescent="0.3">
      <c r="A22" s="727"/>
      <c r="B22"/>
      <c r="C22"/>
      <c r="D22"/>
      <c r="E22"/>
      <c r="F22"/>
      <c r="G22"/>
      <c r="H22"/>
    </row>
    <row r="23" spans="1:12" ht="15" customHeight="1" x14ac:dyDescent="0.3">
      <c r="A23"/>
      <c r="B23"/>
      <c r="C23"/>
      <c r="D23"/>
      <c r="E23"/>
      <c r="F23"/>
      <c r="G23"/>
      <c r="H23"/>
    </row>
    <row r="24" spans="1:12" ht="15" customHeight="1" x14ac:dyDescent="0.3">
      <c r="A24"/>
      <c r="B24"/>
      <c r="C24"/>
      <c r="D24"/>
      <c r="E24"/>
      <c r="F24"/>
      <c r="G24"/>
      <c r="H24"/>
    </row>
    <row r="25" spans="1:12" ht="15" customHeight="1" x14ac:dyDescent="0.3">
      <c r="A25"/>
      <c r="B25"/>
      <c r="C25"/>
      <c r="D25"/>
      <c r="E25"/>
      <c r="F25"/>
      <c r="G25"/>
      <c r="H25"/>
    </row>
    <row r="26" spans="1:12" ht="15" customHeight="1" x14ac:dyDescent="0.3">
      <c r="A26"/>
      <c r="B26"/>
      <c r="C26"/>
      <c r="D26"/>
      <c r="E26"/>
      <c r="F26"/>
      <c r="G26"/>
      <c r="H26"/>
    </row>
    <row r="27" spans="1:12" ht="15" customHeight="1" x14ac:dyDescent="0.3">
      <c r="A27"/>
      <c r="B27"/>
      <c r="C27"/>
      <c r="D27"/>
      <c r="E27"/>
      <c r="F27"/>
      <c r="G27"/>
      <c r="H27"/>
    </row>
    <row r="28" spans="1:12" ht="15" customHeight="1" x14ac:dyDescent="0.3">
      <c r="A28"/>
      <c r="B28"/>
      <c r="C28"/>
      <c r="D28"/>
      <c r="E28"/>
      <c r="F28"/>
      <c r="G28"/>
      <c r="H28"/>
    </row>
    <row r="29" spans="1:12" ht="18.75" customHeight="1" x14ac:dyDescent="0.3">
      <c r="A29"/>
      <c r="B29"/>
      <c r="C29"/>
      <c r="D29"/>
      <c r="E29"/>
      <c r="F29"/>
      <c r="G29"/>
      <c r="H29"/>
    </row>
    <row r="30" spans="1:12" ht="18.75" customHeight="1" x14ac:dyDescent="0.3">
      <c r="A30"/>
      <c r="B30"/>
      <c r="C30"/>
      <c r="D30"/>
      <c r="E30"/>
      <c r="F30"/>
      <c r="G30"/>
      <c r="H30"/>
    </row>
  </sheetData>
  <sortState ref="A14:E15">
    <sortCondition ref="A14:A15"/>
  </sortState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2.75" x14ac:dyDescent="0.2"/>
  <cols>
    <col min="1" max="1" width="30.85546875" bestFit="1" customWidth="1"/>
    <col min="2" max="2" width="11.85546875" hidden="1" customWidth="1"/>
    <col min="3" max="3" width="12.42578125" hidden="1" customWidth="1"/>
    <col min="4" max="8" width="12.7109375" hidden="1" customWidth="1"/>
    <col min="9" max="9" width="8.7109375" hidden="1" customWidth="1"/>
  </cols>
  <sheetData>
    <row r="1" spans="1:12" ht="23.25" customHeight="1" x14ac:dyDescent="0.25">
      <c r="A1" s="217" t="s">
        <v>283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ht="25.5" customHeight="1" x14ac:dyDescent="0.3">
      <c r="A2" s="105" t="s">
        <v>86</v>
      </c>
      <c r="B2" s="217"/>
      <c r="C2" s="105">
        <v>2013</v>
      </c>
      <c r="D2" s="105">
        <v>2014</v>
      </c>
      <c r="E2" s="105">
        <v>2015</v>
      </c>
      <c r="F2" s="105">
        <v>2016</v>
      </c>
      <c r="G2" s="105">
        <v>2017</v>
      </c>
      <c r="H2" s="105">
        <v>2018</v>
      </c>
      <c r="I2" s="105">
        <v>2019</v>
      </c>
      <c r="J2" s="105">
        <v>2020</v>
      </c>
      <c r="K2" s="105">
        <v>2021</v>
      </c>
      <c r="L2" s="105">
        <v>2022</v>
      </c>
    </row>
    <row r="3" spans="1:12" ht="18.95" customHeight="1" x14ac:dyDescent="0.25">
      <c r="A3" s="233"/>
      <c r="B3" s="217"/>
      <c r="C3" s="233"/>
      <c r="D3" s="233"/>
      <c r="E3" s="233"/>
      <c r="F3" s="546"/>
      <c r="G3" s="546"/>
      <c r="H3" s="546"/>
      <c r="I3" s="546"/>
      <c r="J3" s="546"/>
      <c r="K3" s="546"/>
      <c r="L3" s="546"/>
    </row>
    <row r="4" spans="1:12" ht="18.95" customHeight="1" x14ac:dyDescent="0.3">
      <c r="A4" s="59" t="s">
        <v>284</v>
      </c>
      <c r="B4" s="217"/>
      <c r="C4" s="400">
        <v>2100</v>
      </c>
      <c r="D4" s="400">
        <v>2300</v>
      </c>
      <c r="E4" s="400">
        <v>2300</v>
      </c>
      <c r="F4" s="476">
        <v>2300</v>
      </c>
      <c r="G4" s="476">
        <v>2300</v>
      </c>
      <c r="H4" s="476">
        <v>2300</v>
      </c>
      <c r="I4" s="476">
        <v>2400</v>
      </c>
      <c r="J4" s="476">
        <v>2400</v>
      </c>
      <c r="K4" s="476">
        <v>2400</v>
      </c>
      <c r="L4" s="476">
        <v>2800</v>
      </c>
    </row>
    <row r="5" spans="1:12" ht="22.5" customHeight="1" x14ac:dyDescent="0.3">
      <c r="A5" s="59" t="s">
        <v>287</v>
      </c>
      <c r="B5" s="217"/>
      <c r="C5" s="38">
        <v>275</v>
      </c>
      <c r="D5" s="38">
        <v>300</v>
      </c>
      <c r="E5" s="38">
        <v>300</v>
      </c>
      <c r="F5" s="477">
        <v>300</v>
      </c>
      <c r="G5" s="477">
        <v>300</v>
      </c>
      <c r="H5" s="477">
        <v>300</v>
      </c>
      <c r="I5" s="477">
        <f>I4*0.0825</f>
        <v>198</v>
      </c>
      <c r="J5" s="477">
        <f>J4*0.0825</f>
        <v>198</v>
      </c>
      <c r="K5" s="477">
        <f>K4*0.0825</f>
        <v>198</v>
      </c>
      <c r="L5" s="477">
        <f>L4*0.0825</f>
        <v>231</v>
      </c>
    </row>
    <row r="6" spans="1:12" ht="18.95" customHeight="1" x14ac:dyDescent="0.3">
      <c r="A6" s="644"/>
      <c r="B6" s="217"/>
      <c r="C6" s="38"/>
      <c r="D6" s="38"/>
      <c r="E6" s="38"/>
      <c r="F6" s="477"/>
      <c r="G6" s="477"/>
      <c r="H6" s="477"/>
      <c r="I6" s="477"/>
      <c r="J6" s="477"/>
      <c r="K6" s="477"/>
      <c r="L6" s="477"/>
    </row>
    <row r="7" spans="1:12" ht="18.95" customHeight="1" x14ac:dyDescent="0.3">
      <c r="A7" s="645"/>
      <c r="B7" s="217"/>
      <c r="C7" s="400"/>
      <c r="D7" s="400"/>
      <c r="E7" s="400"/>
      <c r="F7" s="476"/>
      <c r="G7" s="476"/>
      <c r="H7" s="476"/>
      <c r="I7" s="476"/>
      <c r="J7" s="476"/>
      <c r="K7" s="476"/>
      <c r="L7" s="476"/>
    </row>
    <row r="8" spans="1:12" ht="18.95" customHeight="1" x14ac:dyDescent="0.3">
      <c r="A8" s="106"/>
      <c r="B8" s="217"/>
      <c r="C8" s="101"/>
      <c r="D8" s="101"/>
      <c r="E8" s="101"/>
      <c r="F8" s="522"/>
      <c r="G8" s="522"/>
      <c r="H8" s="522"/>
      <c r="I8" s="522"/>
      <c r="J8" s="522"/>
      <c r="K8" s="522"/>
      <c r="L8" s="522"/>
    </row>
    <row r="9" spans="1:12" ht="33.75" customHeight="1" x14ac:dyDescent="0.3">
      <c r="A9" s="646"/>
      <c r="B9" s="217"/>
      <c r="C9" s="38"/>
      <c r="D9" s="38"/>
      <c r="E9" s="38"/>
      <c r="F9" s="477"/>
      <c r="G9" s="477"/>
      <c r="H9" s="477"/>
      <c r="I9" s="477"/>
      <c r="J9" s="477"/>
      <c r="K9" s="477"/>
      <c r="L9" s="477"/>
    </row>
    <row r="10" spans="1:12" ht="18.95" customHeight="1" x14ac:dyDescent="0.3">
      <c r="A10" s="647"/>
      <c r="B10" s="217"/>
      <c r="C10" s="101"/>
      <c r="D10" s="101"/>
      <c r="E10" s="101"/>
      <c r="F10" s="522"/>
      <c r="G10" s="522"/>
      <c r="H10" s="522"/>
      <c r="I10" s="522"/>
      <c r="J10" s="522"/>
      <c r="K10" s="522"/>
      <c r="L10" s="522"/>
    </row>
    <row r="11" spans="1:12" ht="18.95" customHeight="1" thickBot="1" x14ac:dyDescent="0.35">
      <c r="A11" s="51"/>
      <c r="B11" s="217"/>
      <c r="C11" s="38"/>
      <c r="D11" s="38"/>
      <c r="E11" s="38"/>
      <c r="F11" s="477"/>
      <c r="G11" s="477"/>
      <c r="H11" s="477"/>
      <c r="I11" s="477"/>
      <c r="J11" s="477"/>
      <c r="K11" s="477"/>
      <c r="L11" s="477"/>
    </row>
    <row r="12" spans="1:12" ht="18.95" customHeight="1" thickTop="1" x14ac:dyDescent="0.3">
      <c r="A12" s="99" t="s">
        <v>84</v>
      </c>
      <c r="B12" s="217"/>
      <c r="C12" s="108">
        <f t="shared" ref="C12:H12" si="0">SUM(C4:C11)</f>
        <v>2375</v>
      </c>
      <c r="D12" s="108">
        <f t="shared" si="0"/>
        <v>2600</v>
      </c>
      <c r="E12" s="108">
        <f t="shared" si="0"/>
        <v>2600</v>
      </c>
      <c r="F12" s="557">
        <f t="shared" si="0"/>
        <v>2600</v>
      </c>
      <c r="G12" s="557">
        <f t="shared" si="0"/>
        <v>2600</v>
      </c>
      <c r="H12" s="557">
        <f t="shared" si="0"/>
        <v>2600</v>
      </c>
      <c r="I12" s="557">
        <f>SUM(I4:I11)</f>
        <v>2598</v>
      </c>
      <c r="J12" s="557">
        <f>SUM(J4:J11)</f>
        <v>2598</v>
      </c>
      <c r="K12" s="557">
        <f>SUM(K4:K11)</f>
        <v>2598</v>
      </c>
      <c r="L12" s="557">
        <f>SUM(L4:L11)</f>
        <v>3031</v>
      </c>
    </row>
    <row r="13" spans="1:12" x14ac:dyDescent="0.2">
      <c r="A13" s="218"/>
      <c r="B13" s="218"/>
      <c r="C13" s="21"/>
      <c r="D13" s="21"/>
      <c r="E13" s="206"/>
      <c r="F13" s="206"/>
      <c r="G13" s="206"/>
      <c r="H13" s="206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/>
  </sheetViews>
  <sheetFormatPr defaultColWidth="9.140625" defaultRowHeight="12.75" x14ac:dyDescent="0.2"/>
  <cols>
    <col min="1" max="1" width="45.140625" style="21" customWidth="1"/>
    <col min="2" max="2" width="14.7109375" style="21" hidden="1" customWidth="1"/>
    <col min="3" max="5" width="11.28515625" style="21" hidden="1" customWidth="1"/>
    <col min="6" max="6" width="11.5703125" style="21" hidden="1" customWidth="1"/>
    <col min="7" max="9" width="11.28515625" style="21" hidden="1" customWidth="1"/>
    <col min="10" max="11" width="11" style="21" bestFit="1" customWidth="1"/>
    <col min="12" max="12" width="12" style="21" bestFit="1" customWidth="1"/>
    <col min="13" max="13" width="11" style="21" bestFit="1" customWidth="1"/>
    <col min="14" max="14" width="10.7109375" style="21" bestFit="1" customWidth="1"/>
    <col min="15" max="16384" width="9.140625" style="21"/>
  </cols>
  <sheetData>
    <row r="1" spans="1:15" ht="16.5" x14ac:dyDescent="0.3">
      <c r="A1" s="175" t="s">
        <v>466</v>
      </c>
      <c r="B1" s="175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07"/>
    </row>
    <row r="2" spans="1:15" ht="18.75" customHeight="1" x14ac:dyDescent="0.3">
      <c r="A2" s="605"/>
      <c r="B2" s="605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107"/>
    </row>
    <row r="3" spans="1:15" ht="18.75" customHeight="1" x14ac:dyDescent="0.3">
      <c r="A3" s="150" t="s">
        <v>86</v>
      </c>
      <c r="B3" s="150"/>
      <c r="C3" s="333">
        <v>2013</v>
      </c>
      <c r="D3" s="333">
        <v>2014</v>
      </c>
      <c r="E3" s="333">
        <v>2015</v>
      </c>
      <c r="F3" s="333">
        <v>2016</v>
      </c>
      <c r="G3" s="333">
        <v>2017</v>
      </c>
      <c r="H3" s="333">
        <v>2018</v>
      </c>
      <c r="I3" s="333">
        <v>2019</v>
      </c>
      <c r="J3" s="333">
        <v>2020</v>
      </c>
      <c r="K3" s="333">
        <v>2021</v>
      </c>
      <c r="L3" s="333">
        <v>2022</v>
      </c>
      <c r="M3" s="107"/>
    </row>
    <row r="4" spans="1:15" ht="20.100000000000001" customHeight="1" x14ac:dyDescent="0.3">
      <c r="A4" s="65" t="s">
        <v>162</v>
      </c>
      <c r="B4" s="767"/>
      <c r="C4" s="103">
        <v>148260</v>
      </c>
      <c r="D4" s="103">
        <v>156333.63</v>
      </c>
      <c r="E4" s="103">
        <v>164446.14000000001</v>
      </c>
      <c r="F4" s="556">
        <v>168094.01</v>
      </c>
      <c r="G4" s="556">
        <v>174842</v>
      </c>
      <c r="H4" s="556">
        <v>193577</v>
      </c>
      <c r="I4" s="556">
        <v>211655</v>
      </c>
      <c r="J4" s="556">
        <v>225078</v>
      </c>
      <c r="K4" s="556">
        <v>238455</v>
      </c>
      <c r="L4" s="556">
        <v>268375</v>
      </c>
      <c r="M4" s="607"/>
    </row>
    <row r="5" spans="1:15" ht="20.100000000000001" customHeight="1" x14ac:dyDescent="0.3">
      <c r="A5" s="62" t="s">
        <v>333</v>
      </c>
      <c r="B5" s="62"/>
      <c r="C5" s="103">
        <v>5250</v>
      </c>
      <c r="D5" s="103">
        <v>5250</v>
      </c>
      <c r="E5" s="103">
        <v>5250</v>
      </c>
      <c r="F5" s="556">
        <v>5250</v>
      </c>
      <c r="G5" s="556">
        <v>5250</v>
      </c>
      <c r="H5" s="556">
        <v>5250</v>
      </c>
      <c r="I5" s="556">
        <v>5250</v>
      </c>
      <c r="J5" s="556">
        <v>5250</v>
      </c>
      <c r="K5" s="556">
        <v>5250</v>
      </c>
      <c r="L5" s="556">
        <v>5250</v>
      </c>
      <c r="M5" s="608"/>
    </row>
    <row r="6" spans="1:15" ht="20.100000000000001" customHeight="1" x14ac:dyDescent="0.3">
      <c r="A6" s="609" t="s">
        <v>225</v>
      </c>
      <c r="B6" s="768"/>
      <c r="C6" s="610">
        <v>240759.72</v>
      </c>
      <c r="D6" s="789">
        <v>349857.84</v>
      </c>
      <c r="E6" s="789">
        <v>376097.18</v>
      </c>
      <c r="F6" s="794">
        <v>404304.47</v>
      </c>
      <c r="G6" s="794">
        <f>(40000*12)-86000</f>
        <v>394000</v>
      </c>
      <c r="H6" s="794">
        <f>(40000*12)</f>
        <v>480000</v>
      </c>
      <c r="I6" s="794">
        <f>(40000*12)</f>
        <v>480000</v>
      </c>
      <c r="J6" s="794">
        <v>511253</v>
      </c>
      <c r="K6" s="794">
        <f>((1428.42+96.76+18.28+0.078+0.03)*33*12)-100000</f>
        <v>511252.92799999996</v>
      </c>
      <c r="L6" s="794">
        <f>((1521.26+98.38+18.28+0.078+0.03)*33*12)-100000</f>
        <v>548659.08799999987</v>
      </c>
      <c r="M6" s="791">
        <f>SUM(L6:L8)</f>
        <v>462659.08799999987</v>
      </c>
    </row>
    <row r="7" spans="1:15" ht="20.100000000000001" hidden="1" customHeight="1" x14ac:dyDescent="0.3">
      <c r="A7" s="62" t="s">
        <v>634</v>
      </c>
      <c r="B7" s="752"/>
      <c r="C7" s="611"/>
      <c r="D7" s="790"/>
      <c r="E7" s="790"/>
      <c r="F7" s="795"/>
      <c r="G7" s="795"/>
      <c r="H7" s="795"/>
      <c r="I7" s="795"/>
      <c r="J7" s="795"/>
      <c r="K7" s="795"/>
      <c r="L7" s="795"/>
      <c r="M7" s="792"/>
      <c r="O7" s="208"/>
    </row>
    <row r="8" spans="1:15" ht="20.100000000000001" customHeight="1" x14ac:dyDescent="0.3">
      <c r="A8" s="109" t="s">
        <v>464</v>
      </c>
      <c r="B8" s="109"/>
      <c r="C8" s="451">
        <v>-25813</v>
      </c>
      <c r="D8" s="612">
        <v>-82791.240000000005</v>
      </c>
      <c r="E8" s="612">
        <v>-65497.18</v>
      </c>
      <c r="F8" s="613">
        <v>-40000</v>
      </c>
      <c r="G8" s="613">
        <v>0</v>
      </c>
      <c r="H8" s="613">
        <v>-86000</v>
      </c>
      <c r="I8" s="613">
        <v>-86000</v>
      </c>
      <c r="J8" s="613">
        <v>-86000</v>
      </c>
      <c r="K8" s="613">
        <v>-86000</v>
      </c>
      <c r="L8" s="613">
        <v>-86000</v>
      </c>
      <c r="M8" s="793"/>
    </row>
    <row r="9" spans="1:15" ht="20.100000000000001" hidden="1" customHeight="1" x14ac:dyDescent="0.3">
      <c r="A9" s="614" t="s">
        <v>523</v>
      </c>
      <c r="B9" s="614"/>
      <c r="C9" s="615">
        <v>10437.700000000001</v>
      </c>
      <c r="D9" s="615">
        <v>10600</v>
      </c>
      <c r="E9" s="615">
        <v>10600</v>
      </c>
      <c r="F9" s="616">
        <v>11000</v>
      </c>
      <c r="G9" s="616">
        <f>(1600*12)-7200</f>
        <v>12000</v>
      </c>
      <c r="H9" s="616">
        <f>(1600*12)-7200</f>
        <v>12000</v>
      </c>
      <c r="I9" s="742">
        <f>(1800*12)-7200</f>
        <v>14400</v>
      </c>
      <c r="J9" s="736">
        <v>0</v>
      </c>
      <c r="K9" s="748">
        <v>0</v>
      </c>
      <c r="L9" s="766">
        <v>0</v>
      </c>
      <c r="M9" s="617"/>
    </row>
    <row r="10" spans="1:15" ht="20.100000000000001" customHeight="1" x14ac:dyDescent="0.3">
      <c r="A10" s="618" t="s">
        <v>635</v>
      </c>
      <c r="B10" s="618"/>
      <c r="C10" s="619">
        <v>8048</v>
      </c>
      <c r="D10" s="619">
        <v>11500</v>
      </c>
      <c r="E10" s="619">
        <v>13600</v>
      </c>
      <c r="F10" s="620">
        <v>13600</v>
      </c>
      <c r="G10" s="620">
        <v>13600</v>
      </c>
      <c r="H10" s="620">
        <v>13600</v>
      </c>
      <c r="I10" s="620">
        <v>13800</v>
      </c>
      <c r="J10" s="620">
        <v>13800</v>
      </c>
      <c r="K10" s="620">
        <v>13800</v>
      </c>
      <c r="L10" s="620">
        <v>13800</v>
      </c>
      <c r="M10" s="791">
        <f>L10+L11+L12</f>
        <v>51800</v>
      </c>
    </row>
    <row r="11" spans="1:15" ht="20.100000000000001" customHeight="1" x14ac:dyDescent="0.3">
      <c r="A11" s="106" t="s">
        <v>607</v>
      </c>
      <c r="B11" s="106"/>
      <c r="C11" s="156">
        <v>2452</v>
      </c>
      <c r="D11" s="156"/>
      <c r="E11" s="156"/>
      <c r="F11" s="467">
        <v>0</v>
      </c>
      <c r="G11" s="467">
        <v>0</v>
      </c>
      <c r="H11" s="467">
        <v>0</v>
      </c>
      <c r="I11" s="467">
        <v>0</v>
      </c>
      <c r="J11" s="467">
        <f>2900*12</f>
        <v>34800</v>
      </c>
      <c r="K11" s="467">
        <f>2900*12</f>
        <v>34800</v>
      </c>
      <c r="L11" s="467">
        <f>2900*12</f>
        <v>34800</v>
      </c>
      <c r="M11" s="792"/>
    </row>
    <row r="12" spans="1:15" ht="20.100000000000001" customHeight="1" x14ac:dyDescent="0.3">
      <c r="A12" s="621" t="s">
        <v>269</v>
      </c>
      <c r="B12" s="621"/>
      <c r="C12" s="451">
        <v>3000</v>
      </c>
      <c r="D12" s="451">
        <v>2100</v>
      </c>
      <c r="E12" s="451">
        <v>3000</v>
      </c>
      <c r="F12" s="469">
        <v>3000</v>
      </c>
      <c r="G12" s="469">
        <v>3000</v>
      </c>
      <c r="H12" s="469">
        <v>3000</v>
      </c>
      <c r="I12" s="469">
        <v>3200</v>
      </c>
      <c r="J12" s="469">
        <v>3200</v>
      </c>
      <c r="K12" s="469">
        <v>3200</v>
      </c>
      <c r="L12" s="469">
        <v>3200</v>
      </c>
      <c r="M12" s="793"/>
    </row>
    <row r="13" spans="1:15" ht="20.100000000000001" customHeight="1" x14ac:dyDescent="0.3">
      <c r="A13" s="609" t="s">
        <v>163</v>
      </c>
      <c r="B13" s="609"/>
      <c r="C13" s="622">
        <v>36743.928508249599</v>
      </c>
      <c r="D13" s="622">
        <v>36743.93</v>
      </c>
      <c r="E13" s="622">
        <v>37225.24</v>
      </c>
      <c r="F13" s="623">
        <v>38202.44</v>
      </c>
      <c r="G13" s="623">
        <v>39645</v>
      </c>
      <c r="H13" s="623">
        <v>48128</v>
      </c>
      <c r="I13" s="623">
        <v>53130</v>
      </c>
      <c r="J13" s="623">
        <v>61519</v>
      </c>
      <c r="K13" s="623">
        <v>61519</v>
      </c>
      <c r="L13" s="623">
        <v>73795</v>
      </c>
      <c r="M13" s="787">
        <f>SUM(L13:L18)</f>
        <v>75053</v>
      </c>
      <c r="O13" s="208"/>
    </row>
    <row r="14" spans="1:15" ht="20.100000000000001" customHeight="1" x14ac:dyDescent="0.3">
      <c r="A14" s="50" t="s">
        <v>164</v>
      </c>
      <c r="B14" s="50"/>
      <c r="C14" s="104">
        <v>1046.0347559270401</v>
      </c>
      <c r="D14" s="104">
        <v>1046.03</v>
      </c>
      <c r="E14" s="104">
        <v>1370.91</v>
      </c>
      <c r="F14" s="624">
        <v>1385.5</v>
      </c>
      <c r="G14" s="624">
        <v>1462</v>
      </c>
      <c r="H14" s="624">
        <v>972</v>
      </c>
      <c r="I14" s="624">
        <v>976</v>
      </c>
      <c r="J14" s="624">
        <v>277</v>
      </c>
      <c r="K14" s="624">
        <v>277</v>
      </c>
      <c r="L14" s="624">
        <v>458</v>
      </c>
      <c r="M14" s="796"/>
    </row>
    <row r="15" spans="1:15" ht="20.100000000000001" customHeight="1" x14ac:dyDescent="0.3">
      <c r="A15" s="62" t="s">
        <v>28</v>
      </c>
      <c r="B15" s="62"/>
      <c r="C15" s="104">
        <v>443.52</v>
      </c>
      <c r="D15" s="104">
        <v>443.52</v>
      </c>
      <c r="E15" s="104">
        <v>443.52</v>
      </c>
      <c r="F15" s="624" t="e">
        <f>#REF!</f>
        <v>#REF!</v>
      </c>
      <c r="G15" s="624">
        <v>444</v>
      </c>
      <c r="H15" s="624">
        <v>444</v>
      </c>
      <c r="I15" s="624">
        <v>444</v>
      </c>
      <c r="J15" s="624">
        <v>444</v>
      </c>
      <c r="K15" s="624">
        <v>444</v>
      </c>
      <c r="L15" s="624">
        <v>444</v>
      </c>
      <c r="M15" s="796"/>
    </row>
    <row r="16" spans="1:15" ht="20.100000000000001" customHeight="1" x14ac:dyDescent="0.3">
      <c r="A16" s="62" t="s">
        <v>556</v>
      </c>
      <c r="B16" s="62"/>
      <c r="C16" s="104">
        <v>272.44800000000004</v>
      </c>
      <c r="D16" s="104">
        <v>272.45</v>
      </c>
      <c r="E16" s="104">
        <v>211.9</v>
      </c>
      <c r="F16" s="624" t="e">
        <f>#REF!/100*#REF!*#REF!*#REF!</f>
        <v>#REF!</v>
      </c>
      <c r="G16" s="624">
        <v>212</v>
      </c>
      <c r="H16" s="624">
        <v>303</v>
      </c>
      <c r="I16" s="624">
        <v>348</v>
      </c>
      <c r="J16" s="624">
        <v>348</v>
      </c>
      <c r="K16" s="624">
        <v>348</v>
      </c>
      <c r="L16" s="624">
        <v>348</v>
      </c>
      <c r="M16" s="796"/>
    </row>
    <row r="17" spans="1:13" ht="20.100000000000001" customHeight="1" x14ac:dyDescent="0.3">
      <c r="A17" s="62" t="s">
        <v>557</v>
      </c>
      <c r="B17" s="62"/>
      <c r="C17" s="625">
        <v>8.2368000000000006</v>
      </c>
      <c r="D17" s="625">
        <v>8.24</v>
      </c>
      <c r="E17" s="625">
        <v>8.24</v>
      </c>
      <c r="F17" s="626" t="e">
        <f>3000/100*#REF!*#REF!*#REF!</f>
        <v>#REF!</v>
      </c>
      <c r="G17" s="626">
        <v>8</v>
      </c>
      <c r="H17" s="626">
        <v>8</v>
      </c>
      <c r="I17" s="626">
        <v>8</v>
      </c>
      <c r="J17" s="626">
        <v>8</v>
      </c>
      <c r="K17" s="626">
        <v>8</v>
      </c>
      <c r="L17" s="626">
        <v>8</v>
      </c>
      <c r="M17" s="788"/>
    </row>
    <row r="18" spans="1:13" ht="20.100000000000001" hidden="1" customHeight="1" x14ac:dyDescent="0.3">
      <c r="A18" s="109" t="s">
        <v>300</v>
      </c>
      <c r="B18" s="594"/>
      <c r="C18" s="627">
        <v>-1589</v>
      </c>
      <c r="D18" s="627">
        <v>-1589</v>
      </c>
      <c r="E18" s="627">
        <v>-1589</v>
      </c>
      <c r="F18" s="628">
        <v>-1589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772"/>
    </row>
    <row r="19" spans="1:13" ht="20.100000000000001" customHeight="1" x14ac:dyDescent="0.3">
      <c r="A19" s="62" t="s">
        <v>660</v>
      </c>
      <c r="B19" s="752"/>
      <c r="C19" s="769"/>
      <c r="D19" s="769"/>
      <c r="E19" s="769"/>
      <c r="F19" s="770"/>
      <c r="G19" s="770"/>
      <c r="H19" s="770"/>
      <c r="I19" s="770"/>
      <c r="J19" s="770">
        <v>0</v>
      </c>
      <c r="K19" s="770">
        <v>0</v>
      </c>
      <c r="L19" s="770">
        <v>2500</v>
      </c>
      <c r="M19" s="771"/>
    </row>
    <row r="20" spans="1:13" ht="20.100000000000001" customHeight="1" x14ac:dyDescent="0.3">
      <c r="A20" s="62" t="s">
        <v>370</v>
      </c>
      <c r="B20" s="62"/>
      <c r="C20" s="104">
        <v>15000</v>
      </c>
      <c r="D20" s="104">
        <v>15000</v>
      </c>
      <c r="E20" s="104">
        <v>20000</v>
      </c>
      <c r="F20" s="624">
        <v>22000</v>
      </c>
      <c r="G20" s="624">
        <v>22000</v>
      </c>
      <c r="H20" s="624">
        <v>18000</v>
      </c>
      <c r="I20" s="624">
        <v>20000</v>
      </c>
      <c r="J20" s="624">
        <v>30000</v>
      </c>
      <c r="K20" s="624">
        <v>30000</v>
      </c>
      <c r="L20" s="624">
        <v>30000</v>
      </c>
      <c r="M20" s="629"/>
    </row>
    <row r="21" spans="1:13" ht="20.100000000000001" customHeight="1" x14ac:dyDescent="0.3">
      <c r="A21" s="630" t="s">
        <v>132</v>
      </c>
      <c r="B21" s="630"/>
      <c r="C21" s="631">
        <v>480</v>
      </c>
      <c r="D21" s="631">
        <v>480</v>
      </c>
      <c r="E21" s="631">
        <v>480</v>
      </c>
      <c r="F21" s="632">
        <f>40*12</f>
        <v>480</v>
      </c>
      <c r="G21" s="632">
        <f>40*12</f>
        <v>480</v>
      </c>
      <c r="H21" s="632">
        <f>40*12</f>
        <v>480</v>
      </c>
      <c r="I21" s="632">
        <f>45*12</f>
        <v>540</v>
      </c>
      <c r="J21" s="632">
        <f>50*12</f>
        <v>600</v>
      </c>
      <c r="K21" s="632">
        <f>50*12</f>
        <v>600</v>
      </c>
      <c r="L21" s="632">
        <f>50*12</f>
        <v>600</v>
      </c>
      <c r="M21" s="787">
        <f>L21+L22+K23</f>
        <v>11650</v>
      </c>
    </row>
    <row r="22" spans="1:13" ht="20.100000000000001" customHeight="1" x14ac:dyDescent="0.3">
      <c r="A22" s="65" t="s">
        <v>636</v>
      </c>
      <c r="B22" s="65"/>
      <c r="C22" s="633">
        <v>9500</v>
      </c>
      <c r="D22" s="633">
        <v>9500</v>
      </c>
      <c r="E22" s="633">
        <v>10392</v>
      </c>
      <c r="F22" s="634">
        <f>866*12</f>
        <v>10392</v>
      </c>
      <c r="G22" s="634">
        <f>866*12</f>
        <v>10392</v>
      </c>
      <c r="H22" s="634">
        <f>866*12</f>
        <v>10392</v>
      </c>
      <c r="I22" s="634">
        <f>886*12</f>
        <v>10632</v>
      </c>
      <c r="J22" s="634">
        <f>890*12</f>
        <v>10680</v>
      </c>
      <c r="K22" s="634">
        <f>425*26</f>
        <v>11050</v>
      </c>
      <c r="L22" s="634">
        <f>425*26</f>
        <v>11050</v>
      </c>
      <c r="M22" s="788"/>
    </row>
    <row r="23" spans="1:13" ht="20.100000000000001" hidden="1" customHeight="1" x14ac:dyDescent="0.3">
      <c r="A23" s="65" t="s">
        <v>288</v>
      </c>
      <c r="B23" s="65"/>
      <c r="C23" s="633">
        <v>0</v>
      </c>
      <c r="D23" s="633">
        <v>0</v>
      </c>
      <c r="E23" s="633">
        <v>0</v>
      </c>
      <c r="F23" s="634"/>
      <c r="G23" s="634"/>
      <c r="H23" s="634"/>
      <c r="I23" s="634"/>
      <c r="J23" s="634"/>
      <c r="K23" s="634"/>
      <c r="L23" s="634"/>
      <c r="M23" s="628"/>
    </row>
    <row r="24" spans="1:13" ht="20.100000000000001" customHeight="1" x14ac:dyDescent="0.3">
      <c r="A24" s="630" t="s">
        <v>261</v>
      </c>
      <c r="B24" s="630"/>
      <c r="C24" s="635">
        <v>2000</v>
      </c>
      <c r="D24" s="635">
        <v>2000</v>
      </c>
      <c r="E24" s="635">
        <v>2000</v>
      </c>
      <c r="F24" s="636">
        <v>2000</v>
      </c>
      <c r="G24" s="636">
        <v>2000</v>
      </c>
      <c r="H24" s="636">
        <v>2000</v>
      </c>
      <c r="I24" s="636">
        <v>2000</v>
      </c>
      <c r="J24" s="636">
        <v>2000</v>
      </c>
      <c r="K24" s="636">
        <v>2000</v>
      </c>
      <c r="L24" s="636">
        <v>2000</v>
      </c>
      <c r="M24" s="637"/>
    </row>
    <row r="25" spans="1:13" ht="20.100000000000001" customHeight="1" x14ac:dyDescent="0.3">
      <c r="A25" s="638" t="s">
        <v>275</v>
      </c>
      <c r="B25" s="638"/>
      <c r="C25" s="639">
        <v>177485.82</v>
      </c>
      <c r="D25" s="639">
        <v>189168.64000000001</v>
      </c>
      <c r="E25" s="639">
        <v>201448.4</v>
      </c>
      <c r="F25" s="640">
        <v>206173.94</v>
      </c>
      <c r="G25" s="640">
        <v>214551</v>
      </c>
      <c r="H25" s="640">
        <v>333828</v>
      </c>
      <c r="I25" s="640">
        <v>367604</v>
      </c>
      <c r="J25" s="640">
        <v>387564</v>
      </c>
      <c r="K25" s="640">
        <v>411718</v>
      </c>
      <c r="L25" s="640">
        <v>464432</v>
      </c>
      <c r="M25" s="637"/>
    </row>
    <row r="26" spans="1:13" ht="20.100000000000001" customHeight="1" x14ac:dyDescent="0.3">
      <c r="A26" s="641"/>
      <c r="B26" s="641"/>
      <c r="C26" s="619"/>
      <c r="D26" s="619"/>
      <c r="E26" s="619"/>
      <c r="F26" s="620"/>
      <c r="G26" s="620"/>
      <c r="H26" s="620"/>
      <c r="I26" s="620"/>
      <c r="J26" s="620"/>
      <c r="K26" s="620"/>
      <c r="L26" s="620"/>
      <c r="M26" s="637"/>
    </row>
    <row r="27" spans="1:13" ht="20.100000000000001" customHeight="1" x14ac:dyDescent="0.3">
      <c r="A27" s="642"/>
      <c r="B27" s="642"/>
      <c r="C27" s="451"/>
      <c r="D27" s="451"/>
      <c r="E27" s="451"/>
      <c r="F27" s="469"/>
      <c r="G27" s="469"/>
      <c r="H27" s="469"/>
      <c r="I27" s="469"/>
      <c r="J27" s="469"/>
      <c r="K27" s="469"/>
      <c r="L27" s="469"/>
      <c r="M27" s="637"/>
    </row>
    <row r="28" spans="1:13" ht="20.100000000000001" customHeight="1" x14ac:dyDescent="0.3">
      <c r="A28" s="643" t="s">
        <v>129</v>
      </c>
      <c r="B28" s="643"/>
      <c r="C28" s="329">
        <f>SUM(C4:C27)</f>
        <v>633785.40806417656</v>
      </c>
      <c r="D28" s="329">
        <f>SUM(D4:D27)</f>
        <v>705924.04</v>
      </c>
      <c r="E28" s="329">
        <f>SUM(E4:E27)</f>
        <v>779487.35000000021</v>
      </c>
      <c r="F28" s="541" t="e">
        <f>SUM(F4:F27)-0.01</f>
        <v>#REF!</v>
      </c>
      <c r="G28" s="541">
        <f t="shared" ref="G28:L28" si="0">SUM(G4:G27)</f>
        <v>893886</v>
      </c>
      <c r="H28" s="541">
        <f t="shared" si="0"/>
        <v>1035982</v>
      </c>
      <c r="I28" s="541">
        <f t="shared" si="0"/>
        <v>1097987</v>
      </c>
      <c r="J28" s="541">
        <f t="shared" si="0"/>
        <v>1200821</v>
      </c>
      <c r="K28" s="541">
        <f t="shared" si="0"/>
        <v>1238721.9279999998</v>
      </c>
      <c r="L28" s="541">
        <f>SUM(L4:L27)+1</f>
        <v>1373720.088</v>
      </c>
      <c r="M28" s="637"/>
    </row>
    <row r="29" spans="1:13" ht="11.25" customHeight="1" x14ac:dyDescent="0.2">
      <c r="E29" s="88"/>
      <c r="F29" s="88"/>
      <c r="G29" s="88"/>
      <c r="H29" s="88"/>
    </row>
    <row r="30" spans="1:13" x14ac:dyDescent="0.2">
      <c r="E30" s="281"/>
      <c r="F30" s="281"/>
      <c r="G30" s="281"/>
      <c r="H30" s="281"/>
    </row>
    <row r="31" spans="1:13" ht="15.75" customHeight="1" x14ac:dyDescent="0.2"/>
  </sheetData>
  <mergeCells count="13">
    <mergeCell ref="M21:M22"/>
    <mergeCell ref="D6:D7"/>
    <mergeCell ref="E6:E7"/>
    <mergeCell ref="M6:M8"/>
    <mergeCell ref="M10:M12"/>
    <mergeCell ref="H6:H7"/>
    <mergeCell ref="F6:F7"/>
    <mergeCell ref="G6:G7"/>
    <mergeCell ref="I6:I7"/>
    <mergeCell ref="J6:J7"/>
    <mergeCell ref="K6:K7"/>
    <mergeCell ref="L6:L7"/>
    <mergeCell ref="M13:M17"/>
  </mergeCells>
  <pageMargins left="0.7" right="0.7" top="0.75" bottom="0.75" header="0.3" footer="0.3"/>
  <pageSetup fitToHeight="0"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pane ySplit="1" topLeftCell="A2" activePane="bottomLeft" state="frozen"/>
      <selection pane="bottomLeft" activeCell="J1" sqref="J1:J38"/>
    </sheetView>
  </sheetViews>
  <sheetFormatPr defaultColWidth="9.140625" defaultRowHeight="12.75" x14ac:dyDescent="0.2"/>
  <cols>
    <col min="1" max="1" width="15.28515625" style="21" customWidth="1"/>
    <col min="2" max="2" width="10.85546875" style="21" customWidth="1"/>
    <col min="3" max="3" width="9.28515625" style="21" customWidth="1"/>
    <col min="4" max="4" width="9.5703125" style="21" customWidth="1"/>
    <col min="5" max="5" width="11" style="21" customWidth="1"/>
    <col min="6" max="6" width="9.42578125" style="21" customWidth="1"/>
    <col min="7" max="7" width="10.28515625" style="21" customWidth="1"/>
    <col min="8" max="8" width="10.5703125" style="21" customWidth="1"/>
    <col min="9" max="9" width="11.140625" style="21" customWidth="1"/>
    <col min="10" max="10" width="11.28515625" style="21" bestFit="1" customWidth="1"/>
    <col min="11" max="11" width="9.140625" style="21"/>
    <col min="12" max="12" width="10.7109375" style="21" bestFit="1" customWidth="1"/>
    <col min="13" max="13" width="11.28515625" style="21" bestFit="1" customWidth="1"/>
    <col min="14" max="16384" width="9.140625" style="21"/>
  </cols>
  <sheetData>
    <row r="1" spans="1:12" s="209" customFormat="1" ht="21" customHeight="1" x14ac:dyDescent="0.2">
      <c r="A1" s="289"/>
      <c r="B1" s="290" t="s">
        <v>193</v>
      </c>
      <c r="C1" s="291" t="s">
        <v>190</v>
      </c>
      <c r="D1" s="291" t="s">
        <v>289</v>
      </c>
      <c r="E1" s="291" t="s">
        <v>194</v>
      </c>
      <c r="F1" s="291" t="s">
        <v>195</v>
      </c>
      <c r="G1" s="291" t="s">
        <v>192</v>
      </c>
      <c r="H1" s="291" t="s">
        <v>309</v>
      </c>
      <c r="I1" s="133" t="s">
        <v>99</v>
      </c>
      <c r="J1" s="800" t="s">
        <v>337</v>
      </c>
    </row>
    <row r="2" spans="1:12" s="209" customFormat="1" ht="21" customHeight="1" x14ac:dyDescent="0.2">
      <c r="A2" s="292" t="s">
        <v>196</v>
      </c>
      <c r="B2" s="293">
        <v>61865</v>
      </c>
      <c r="C2" s="293">
        <f t="shared" ref="C2:C9" si="0">B2*0.0765</f>
        <v>4732.6724999999997</v>
      </c>
      <c r="D2" s="293">
        <v>119.9</v>
      </c>
      <c r="E2" s="294">
        <f>B2/100*3.33*1.36*0.85</f>
        <v>2381.480802</v>
      </c>
      <c r="F2" s="293">
        <v>1455.67</v>
      </c>
      <c r="G2" s="293">
        <v>8960.0400000000009</v>
      </c>
      <c r="H2" s="293">
        <f>B2*0.095</f>
        <v>5877.1750000000002</v>
      </c>
      <c r="I2" s="136">
        <f>SUM(B2:H2)</f>
        <v>85391.93830200001</v>
      </c>
      <c r="J2" s="800"/>
    </row>
    <row r="3" spans="1:12" ht="18" customHeight="1" x14ac:dyDescent="0.2">
      <c r="A3" s="295" t="s">
        <v>196</v>
      </c>
      <c r="B3" s="294">
        <v>61268</v>
      </c>
      <c r="C3" s="294">
        <f t="shared" si="0"/>
        <v>4687.0019999999995</v>
      </c>
      <c r="D3" s="294">
        <v>119.9</v>
      </c>
      <c r="E3" s="294">
        <f t="shared" ref="E3:E20" si="1">B3/100*3.33*1.36*0.85</f>
        <v>2358.4994063999998</v>
      </c>
      <c r="F3" s="294">
        <v>1455.67</v>
      </c>
      <c r="G3" s="294">
        <v>8960.0400000000009</v>
      </c>
      <c r="H3" s="294">
        <f t="shared" ref="H3:H25" si="2">B3*0.095</f>
        <v>5820.46</v>
      </c>
      <c r="I3" s="134">
        <f t="shared" ref="I3:I8" si="3">SUM(B3:H3)</f>
        <v>84669.571406399991</v>
      </c>
      <c r="J3" s="800"/>
    </row>
    <row r="4" spans="1:12" ht="18" customHeight="1" x14ac:dyDescent="0.2">
      <c r="A4" s="303" t="s">
        <v>196</v>
      </c>
      <c r="B4" s="304">
        <v>61269</v>
      </c>
      <c r="C4" s="304">
        <f t="shared" si="0"/>
        <v>4687.0784999999996</v>
      </c>
      <c r="D4" s="304">
        <v>119.9</v>
      </c>
      <c r="E4" s="304">
        <f t="shared" si="1"/>
        <v>2358.5379012000003</v>
      </c>
      <c r="F4" s="304">
        <v>1455.67</v>
      </c>
      <c r="G4" s="304">
        <v>8960.0400000000009</v>
      </c>
      <c r="H4" s="304">
        <f t="shared" si="2"/>
        <v>5820.5550000000003</v>
      </c>
      <c r="I4" s="287">
        <f>SUM(B4:H4)</f>
        <v>84670.781401199987</v>
      </c>
      <c r="J4" s="800"/>
    </row>
    <row r="5" spans="1:12" ht="18" customHeight="1" x14ac:dyDescent="0.2">
      <c r="A5" s="308" t="s">
        <v>197</v>
      </c>
      <c r="B5" s="293">
        <v>52203</v>
      </c>
      <c r="C5" s="293">
        <f t="shared" si="0"/>
        <v>3993.5295000000001</v>
      </c>
      <c r="D5" s="293">
        <v>119.9</v>
      </c>
      <c r="E5" s="293">
        <f>B5/100*3.33*1.36*0.85</f>
        <v>2009.5440444000001</v>
      </c>
      <c r="F5" s="293">
        <v>1455.67</v>
      </c>
      <c r="G5" s="293">
        <v>4777.76</v>
      </c>
      <c r="H5" s="293">
        <f>B5*0.095</f>
        <v>4959.2849999999999</v>
      </c>
      <c r="I5" s="323">
        <f>SUM(B5:H5)</f>
        <v>69518.688544399993</v>
      </c>
      <c r="J5" s="800"/>
    </row>
    <row r="6" spans="1:12" ht="18" customHeight="1" x14ac:dyDescent="0.2">
      <c r="A6" s="309" t="s">
        <v>197</v>
      </c>
      <c r="B6" s="294">
        <v>52504.3</v>
      </c>
      <c r="C6" s="294">
        <f t="shared" si="0"/>
        <v>4016.5789500000001</v>
      </c>
      <c r="D6" s="294">
        <v>119.9</v>
      </c>
      <c r="E6" s="294">
        <f t="shared" si="1"/>
        <v>2021.1425276400003</v>
      </c>
      <c r="F6" s="294">
        <v>1455.67</v>
      </c>
      <c r="G6" s="294">
        <v>8960.0400000000009</v>
      </c>
      <c r="H6" s="294">
        <f t="shared" si="2"/>
        <v>4987.9085000000005</v>
      </c>
      <c r="I6" s="134">
        <f t="shared" si="3"/>
        <v>74065.539977640015</v>
      </c>
      <c r="J6" s="800"/>
    </row>
    <row r="7" spans="1:12" ht="18" customHeight="1" x14ac:dyDescent="0.2">
      <c r="A7" s="310" t="s">
        <v>197</v>
      </c>
      <c r="B7" s="297">
        <v>51304.3</v>
      </c>
      <c r="C7" s="297">
        <f t="shared" si="0"/>
        <v>3924.7789500000003</v>
      </c>
      <c r="D7" s="297">
        <v>119.9</v>
      </c>
      <c r="E7" s="297">
        <f>B7/100*3.33*1.36*0.85</f>
        <v>1974.9487676400001</v>
      </c>
      <c r="F7" s="297">
        <v>1455.67</v>
      </c>
      <c r="G7" s="297">
        <v>4777.76</v>
      </c>
      <c r="H7" s="297">
        <f>B7*0.095</f>
        <v>4873.9085000000005</v>
      </c>
      <c r="I7" s="321">
        <f>SUM(B7:H7)</f>
        <v>68431.266217640004</v>
      </c>
      <c r="J7" s="800"/>
      <c r="L7" s="208"/>
    </row>
    <row r="8" spans="1:12" s="88" customFormat="1" ht="18" customHeight="1" x14ac:dyDescent="0.2">
      <c r="A8" s="319" t="s">
        <v>313</v>
      </c>
      <c r="B8" s="315">
        <v>55456.37</v>
      </c>
      <c r="C8" s="315">
        <f t="shared" si="0"/>
        <v>4242.4123049999998</v>
      </c>
      <c r="D8" s="315">
        <v>119.9</v>
      </c>
      <c r="E8" s="318">
        <f t="shared" si="1"/>
        <v>2134.7818718760004</v>
      </c>
      <c r="F8" s="312">
        <v>1455.67</v>
      </c>
      <c r="G8" s="315">
        <v>4777.76</v>
      </c>
      <c r="H8" s="312">
        <f t="shared" si="2"/>
        <v>5268.3551500000003</v>
      </c>
      <c r="I8" s="322">
        <f t="shared" si="3"/>
        <v>73455.249326876001</v>
      </c>
      <c r="J8" s="800"/>
    </row>
    <row r="9" spans="1:12" ht="18" customHeight="1" x14ac:dyDescent="0.2">
      <c r="A9" s="308" t="s">
        <v>198</v>
      </c>
      <c r="B9" s="293">
        <v>48731.7</v>
      </c>
      <c r="C9" s="293">
        <f t="shared" si="0"/>
        <v>3727.9750499999996</v>
      </c>
      <c r="D9" s="293">
        <v>119.9</v>
      </c>
      <c r="E9" s="293">
        <f>B9/100*3.33*1.36*0.85</f>
        <v>1875.91704516</v>
      </c>
      <c r="F9" s="293">
        <v>1455.67</v>
      </c>
      <c r="G9" s="293">
        <v>4776.76</v>
      </c>
      <c r="H9" s="293">
        <f>B9*0.095</f>
        <v>4629.5114999999996</v>
      </c>
      <c r="I9" s="323">
        <f t="shared" ref="I9:I27" si="4">SUM(B9:H9)</f>
        <v>65317.433595160001</v>
      </c>
      <c r="J9" s="800"/>
    </row>
    <row r="10" spans="1:12" ht="18" customHeight="1" x14ac:dyDescent="0.2">
      <c r="A10" s="309" t="s">
        <v>198</v>
      </c>
      <c r="B10" s="294">
        <v>49693.7</v>
      </c>
      <c r="C10" s="294">
        <f t="shared" ref="C10:C17" si="5">B10*0.0765</f>
        <v>3801.5680499999999</v>
      </c>
      <c r="D10" s="294">
        <v>119.9</v>
      </c>
      <c r="E10" s="294">
        <f t="shared" si="1"/>
        <v>1912.9490427599999</v>
      </c>
      <c r="F10" s="294">
        <v>1455.67</v>
      </c>
      <c r="G10" s="294">
        <v>4777.76</v>
      </c>
      <c r="H10" s="294">
        <f t="shared" si="2"/>
        <v>4720.9014999999999</v>
      </c>
      <c r="I10" s="324">
        <f t="shared" si="4"/>
        <v>66482.448592760004</v>
      </c>
      <c r="J10" s="800"/>
    </row>
    <row r="11" spans="1:12" ht="18" customHeight="1" x14ac:dyDescent="0.2">
      <c r="A11" s="309" t="s">
        <v>198</v>
      </c>
      <c r="B11" s="294">
        <v>49093.7</v>
      </c>
      <c r="C11" s="294">
        <f>B11*0.0765</f>
        <v>3755.6680499999998</v>
      </c>
      <c r="D11" s="294">
        <v>119.9</v>
      </c>
      <c r="E11" s="294">
        <f>B11/100*3.33*1.36*0.85</f>
        <v>1889.8521627600001</v>
      </c>
      <c r="F11" s="294">
        <v>1455.67</v>
      </c>
      <c r="G11" s="294">
        <v>8960.0400000000009</v>
      </c>
      <c r="H11" s="294">
        <f>B11*0.095</f>
        <v>4663.9014999999999</v>
      </c>
      <c r="I11" s="134">
        <f t="shared" si="4"/>
        <v>69938.731712759996</v>
      </c>
      <c r="J11" s="800"/>
    </row>
    <row r="12" spans="1:12" ht="18" customHeight="1" x14ac:dyDescent="0.2">
      <c r="A12" s="309" t="s">
        <v>198</v>
      </c>
      <c r="B12" s="294">
        <v>48135.7</v>
      </c>
      <c r="C12" s="294">
        <f t="shared" si="5"/>
        <v>3682.3810499999995</v>
      </c>
      <c r="D12" s="294">
        <v>119.9</v>
      </c>
      <c r="E12" s="294">
        <f t="shared" si="1"/>
        <v>1852.9741443599999</v>
      </c>
      <c r="F12" s="294">
        <v>1455.67</v>
      </c>
      <c r="G12" s="294">
        <v>4777.76</v>
      </c>
      <c r="H12" s="294">
        <f t="shared" si="2"/>
        <v>4572.8914999999997</v>
      </c>
      <c r="I12" s="324">
        <f t="shared" si="4"/>
        <v>64597.276694359993</v>
      </c>
      <c r="J12" s="800"/>
    </row>
    <row r="13" spans="1:12" ht="18" customHeight="1" x14ac:dyDescent="0.2">
      <c r="A13" s="309" t="s">
        <v>198</v>
      </c>
      <c r="B13" s="294">
        <v>46636.7</v>
      </c>
      <c r="C13" s="294">
        <f>B13*0.0765</f>
        <v>3567.7075499999996</v>
      </c>
      <c r="D13" s="294">
        <v>119.9</v>
      </c>
      <c r="E13" s="294">
        <f>B13/100*3.33*1.36*0.85</f>
        <v>1795.2704391599998</v>
      </c>
      <c r="F13" s="294">
        <v>1455.67</v>
      </c>
      <c r="G13" s="294">
        <v>7301.36</v>
      </c>
      <c r="H13" s="294">
        <f>B13*0.095</f>
        <v>4430.4865</v>
      </c>
      <c r="I13" s="324">
        <f t="shared" si="4"/>
        <v>65307.094489159994</v>
      </c>
      <c r="J13" s="800"/>
    </row>
    <row r="14" spans="1:12" ht="18" customHeight="1" x14ac:dyDescent="0.2">
      <c r="A14" s="310" t="s">
        <v>198</v>
      </c>
      <c r="B14" s="297">
        <v>49636.7</v>
      </c>
      <c r="C14" s="297">
        <f>B14*0.0765</f>
        <v>3797.2075499999996</v>
      </c>
      <c r="D14" s="297">
        <v>119.9</v>
      </c>
      <c r="E14" s="297">
        <f>B14/100*3.33*1.36*0.85</f>
        <v>1910.7548391600003</v>
      </c>
      <c r="F14" s="297">
        <v>1455.67</v>
      </c>
      <c r="G14" s="297">
        <v>4777.76</v>
      </c>
      <c r="H14" s="297">
        <f>B14*0.095</f>
        <v>4715.4865</v>
      </c>
      <c r="I14" s="321">
        <f t="shared" si="4"/>
        <v>66413.478889160004</v>
      </c>
      <c r="J14" s="800"/>
    </row>
    <row r="15" spans="1:12" ht="18" customHeight="1" x14ac:dyDescent="0.2">
      <c r="A15" s="308" t="s">
        <v>199</v>
      </c>
      <c r="B15" s="293">
        <v>42269.3</v>
      </c>
      <c r="C15" s="293">
        <f>B15*0.0765</f>
        <v>3233.6014500000001</v>
      </c>
      <c r="D15" s="293">
        <v>119.9</v>
      </c>
      <c r="E15" s="293">
        <f>B15/100*3.33*1.36*0.85</f>
        <v>1627.1482496400001</v>
      </c>
      <c r="F15" s="293">
        <v>1455.67</v>
      </c>
      <c r="G15" s="293">
        <v>8960.0400000000009</v>
      </c>
      <c r="H15" s="293">
        <f>B15*0.095</f>
        <v>4015.5835000000002</v>
      </c>
      <c r="I15" s="323">
        <f t="shared" si="4"/>
        <v>61681.243199640005</v>
      </c>
      <c r="J15" s="800"/>
    </row>
    <row r="16" spans="1:12" ht="18" customHeight="1" x14ac:dyDescent="0.2">
      <c r="A16" s="295" t="s">
        <v>199</v>
      </c>
      <c r="B16" s="294">
        <v>42631.3</v>
      </c>
      <c r="C16" s="294">
        <f t="shared" si="5"/>
        <v>3261.2944500000003</v>
      </c>
      <c r="D16" s="294">
        <v>119.9</v>
      </c>
      <c r="E16" s="294">
        <f t="shared" si="1"/>
        <v>1641.0833672400004</v>
      </c>
      <c r="F16" s="294">
        <v>1455.67</v>
      </c>
      <c r="G16" s="294">
        <v>4777.76</v>
      </c>
      <c r="H16" s="294">
        <f t="shared" si="2"/>
        <v>4049.9735000000005</v>
      </c>
      <c r="I16" s="134">
        <f t="shared" si="4"/>
        <v>57936.981317240003</v>
      </c>
      <c r="J16" s="800"/>
    </row>
    <row r="17" spans="1:13" ht="18" customHeight="1" x14ac:dyDescent="0.2">
      <c r="A17" s="295" t="s">
        <v>199</v>
      </c>
      <c r="B17" s="294">
        <v>43831.3</v>
      </c>
      <c r="C17" s="294">
        <f t="shared" si="5"/>
        <v>3353.0944500000001</v>
      </c>
      <c r="D17" s="294">
        <v>119.9</v>
      </c>
      <c r="E17" s="294">
        <f t="shared" si="1"/>
        <v>1687.2771272400003</v>
      </c>
      <c r="F17" s="294">
        <v>1455.67</v>
      </c>
      <c r="G17" s="294">
        <v>8960.0400000000009</v>
      </c>
      <c r="H17" s="294">
        <f t="shared" si="2"/>
        <v>4163.9735000000001</v>
      </c>
      <c r="I17" s="134">
        <f t="shared" si="4"/>
        <v>63571.255077239999</v>
      </c>
      <c r="J17" s="800"/>
    </row>
    <row r="18" spans="1:13" ht="18" customHeight="1" x14ac:dyDescent="0.2">
      <c r="A18" s="295" t="s">
        <v>199</v>
      </c>
      <c r="B18" s="294">
        <v>42631.3</v>
      </c>
      <c r="C18" s="294">
        <f t="shared" ref="C18:C26" si="6">B18*0.0765</f>
        <v>3261.2944500000003</v>
      </c>
      <c r="D18" s="294">
        <v>119.9</v>
      </c>
      <c r="E18" s="294">
        <f t="shared" si="1"/>
        <v>1641.0833672400004</v>
      </c>
      <c r="F18" s="294">
        <v>1455.67</v>
      </c>
      <c r="G18" s="294">
        <v>6983.72</v>
      </c>
      <c r="H18" s="294">
        <f t="shared" si="2"/>
        <v>4049.9735000000005</v>
      </c>
      <c r="I18" s="134">
        <f t="shared" si="4"/>
        <v>60142.941317240002</v>
      </c>
      <c r="J18" s="800"/>
    </row>
    <row r="19" spans="1:13" ht="18" customHeight="1" x14ac:dyDescent="0.2">
      <c r="A19" s="295" t="s">
        <v>199</v>
      </c>
      <c r="B19" s="294">
        <v>42631.3</v>
      </c>
      <c r="C19" s="294">
        <f t="shared" si="6"/>
        <v>3261.2944500000003</v>
      </c>
      <c r="D19" s="294">
        <v>119.9</v>
      </c>
      <c r="E19" s="294">
        <f t="shared" si="1"/>
        <v>1641.0833672400004</v>
      </c>
      <c r="F19" s="294">
        <v>1455.67</v>
      </c>
      <c r="G19" s="294">
        <v>8960.0400000000009</v>
      </c>
      <c r="H19" s="294">
        <f t="shared" si="2"/>
        <v>4049.9735000000005</v>
      </c>
      <c r="I19" s="134">
        <f t="shared" si="4"/>
        <v>62119.261317240002</v>
      </c>
      <c r="J19" s="800"/>
    </row>
    <row r="20" spans="1:13" ht="18" customHeight="1" x14ac:dyDescent="0.2">
      <c r="A20" s="295" t="s">
        <v>199</v>
      </c>
      <c r="B20" s="294">
        <v>41671.300000000003</v>
      </c>
      <c r="C20" s="294">
        <f t="shared" si="6"/>
        <v>3187.8544500000003</v>
      </c>
      <c r="D20" s="294">
        <v>119.9</v>
      </c>
      <c r="E20" s="294">
        <f t="shared" si="1"/>
        <v>1604.1283592400002</v>
      </c>
      <c r="F20" s="294">
        <v>1455.67</v>
      </c>
      <c r="G20" s="294">
        <v>4777.76</v>
      </c>
      <c r="H20" s="294">
        <f t="shared" si="2"/>
        <v>3958.7735000000002</v>
      </c>
      <c r="I20" s="134">
        <f t="shared" si="4"/>
        <v>56775.386309240006</v>
      </c>
      <c r="J20" s="800"/>
    </row>
    <row r="21" spans="1:13" ht="18" customHeight="1" x14ac:dyDescent="0.2">
      <c r="A21" s="295" t="s">
        <v>314</v>
      </c>
      <c r="B21" s="294">
        <v>250096.8</v>
      </c>
      <c r="C21" s="294">
        <f t="shared" si="6"/>
        <v>19132.405199999997</v>
      </c>
      <c r="D21" s="294">
        <v>720</v>
      </c>
      <c r="E21" s="294">
        <f t="shared" ref="E21:E26" si="7">B21/100*3.33*1.36*0.85</f>
        <v>9627.4262966400001</v>
      </c>
      <c r="F21" s="294">
        <v>8734.02</v>
      </c>
      <c r="G21" s="294">
        <v>31503.8</v>
      </c>
      <c r="H21" s="294">
        <f t="shared" si="2"/>
        <v>23759.196</v>
      </c>
      <c r="I21" s="134">
        <f t="shared" si="4"/>
        <v>343573.64749663998</v>
      </c>
      <c r="J21" s="800"/>
    </row>
    <row r="22" spans="1:13" ht="18" customHeight="1" x14ac:dyDescent="0.2">
      <c r="A22" s="295" t="s">
        <v>315</v>
      </c>
      <c r="B22" s="294">
        <v>80054.179999999993</v>
      </c>
      <c r="C22" s="294">
        <f t="shared" si="6"/>
        <v>6124.144769999999</v>
      </c>
      <c r="D22" s="294">
        <v>240</v>
      </c>
      <c r="E22" s="294">
        <f t="shared" si="7"/>
        <v>3081.669648264</v>
      </c>
      <c r="F22" s="294">
        <v>2911.3420000000001</v>
      </c>
      <c r="G22" s="294">
        <v>9555.52</v>
      </c>
      <c r="H22" s="294">
        <f t="shared" si="2"/>
        <v>7605.1470999999992</v>
      </c>
      <c r="I22" s="134">
        <f t="shared" si="4"/>
        <v>109572.003518264</v>
      </c>
      <c r="J22" s="800"/>
    </row>
    <row r="23" spans="1:13" ht="18" customHeight="1" x14ac:dyDescent="0.2">
      <c r="A23" s="303" t="s">
        <v>303</v>
      </c>
      <c r="B23" s="304">
        <v>39372.449999999997</v>
      </c>
      <c r="C23" s="304">
        <f t="shared" si="6"/>
        <v>3011.9924249999999</v>
      </c>
      <c r="D23" s="304">
        <v>120</v>
      </c>
      <c r="E23" s="304">
        <f t="shared" si="7"/>
        <v>1515.6345882599999</v>
      </c>
      <c r="F23" s="294">
        <v>1455.67</v>
      </c>
      <c r="G23" s="304">
        <v>4777.76</v>
      </c>
      <c r="H23" s="294">
        <f t="shared" si="2"/>
        <v>3740.3827499999998</v>
      </c>
      <c r="I23" s="287">
        <f t="shared" si="4"/>
        <v>53993.889763259991</v>
      </c>
      <c r="J23" s="800"/>
      <c r="L23" s="288"/>
    </row>
    <row r="24" spans="1:13" ht="17.25" customHeight="1" x14ac:dyDescent="0.2">
      <c r="A24" s="298" t="s">
        <v>40</v>
      </c>
      <c r="B24" s="293">
        <v>65220</v>
      </c>
      <c r="C24" s="293">
        <f t="shared" si="6"/>
        <v>4989.33</v>
      </c>
      <c r="D24" s="299"/>
      <c r="E24" s="293">
        <f t="shared" si="7"/>
        <v>2510.6308560000002</v>
      </c>
      <c r="F24" s="299"/>
      <c r="G24" s="299"/>
      <c r="H24" s="293">
        <f t="shared" si="2"/>
        <v>6195.9</v>
      </c>
      <c r="I24" s="136">
        <f t="shared" si="4"/>
        <v>78915.860855999999</v>
      </c>
      <c r="J24" s="800"/>
    </row>
    <row r="25" spans="1:13" ht="18" customHeight="1" x14ac:dyDescent="0.2">
      <c r="A25" s="300" t="s">
        <v>120</v>
      </c>
      <c r="B25" s="294">
        <v>11869</v>
      </c>
      <c r="C25" s="294">
        <f t="shared" si="6"/>
        <v>907.97849999999994</v>
      </c>
      <c r="D25" s="301"/>
      <c r="E25" s="294">
        <f t="shared" si="7"/>
        <v>456.89478120000001</v>
      </c>
      <c r="F25" s="301"/>
      <c r="G25" s="301"/>
      <c r="H25" s="294">
        <f t="shared" si="2"/>
        <v>1127.5550000000001</v>
      </c>
      <c r="I25" s="134">
        <f t="shared" si="4"/>
        <v>14361.4282812</v>
      </c>
      <c r="J25" s="800"/>
      <c r="L25" s="288"/>
    </row>
    <row r="26" spans="1:13" ht="18" customHeight="1" x14ac:dyDescent="0.2">
      <c r="A26" s="300" t="s">
        <v>310</v>
      </c>
      <c r="B26" s="294">
        <v>16124</v>
      </c>
      <c r="C26" s="294">
        <f t="shared" si="6"/>
        <v>1233.4859999999999</v>
      </c>
      <c r="D26" s="294">
        <v>492</v>
      </c>
      <c r="E26" s="294">
        <f t="shared" si="7"/>
        <v>620.69015520000005</v>
      </c>
      <c r="F26" s="294">
        <v>650.21119999999996</v>
      </c>
      <c r="G26" s="301"/>
      <c r="H26" s="301"/>
      <c r="I26" s="134">
        <f t="shared" si="4"/>
        <v>19120.387355200004</v>
      </c>
      <c r="J26" s="800"/>
      <c r="M26" s="288"/>
    </row>
    <row r="27" spans="1:13" ht="18" customHeight="1" x14ac:dyDescent="0.2">
      <c r="A27" s="311" t="s">
        <v>308</v>
      </c>
      <c r="B27" s="313"/>
      <c r="C27" s="313"/>
      <c r="D27" s="313"/>
      <c r="E27" s="312">
        <v>965.41</v>
      </c>
      <c r="F27" s="312">
        <v>405.59</v>
      </c>
      <c r="G27" s="313"/>
      <c r="H27" s="320"/>
      <c r="I27" s="134">
        <f t="shared" si="4"/>
        <v>1371</v>
      </c>
      <c r="J27" s="800"/>
      <c r="M27" s="288"/>
    </row>
    <row r="28" spans="1:13" ht="18" customHeight="1" x14ac:dyDescent="0.2">
      <c r="A28" s="292" t="s">
        <v>200</v>
      </c>
      <c r="B28" s="293">
        <v>86707.199999999997</v>
      </c>
      <c r="C28" s="293">
        <f t="shared" ref="C28:C35" si="8">B28*0.0765</f>
        <v>6633.1007999999993</v>
      </c>
      <c r="D28" s="293">
        <v>120</v>
      </c>
      <c r="E28" s="293">
        <f t="shared" ref="E28:E34" si="9">B28/100*0.44*1.36*0.85</f>
        <v>441.02750207999998</v>
      </c>
      <c r="F28" s="293">
        <v>1455.671</v>
      </c>
      <c r="G28" s="293">
        <v>8960.0400000000009</v>
      </c>
      <c r="H28" s="293">
        <f>B28*0.095</f>
        <v>8237.1839999999993</v>
      </c>
      <c r="I28" s="136">
        <f t="shared" ref="I28:I33" si="10">SUM(B28:H28)</f>
        <v>112554.22330207999</v>
      </c>
      <c r="J28" s="800"/>
    </row>
    <row r="29" spans="1:13" ht="18" customHeight="1" x14ac:dyDescent="0.2">
      <c r="A29" s="295" t="s">
        <v>268</v>
      </c>
      <c r="B29" s="294">
        <v>69769.600000000006</v>
      </c>
      <c r="C29" s="294">
        <f t="shared" si="8"/>
        <v>5337.3744000000006</v>
      </c>
      <c r="D29" s="294">
        <v>120</v>
      </c>
      <c r="E29" s="294">
        <f t="shared" si="9"/>
        <v>354.87609344000003</v>
      </c>
      <c r="F29" s="294">
        <v>1455.671</v>
      </c>
      <c r="G29" s="294">
        <v>8960.0400000000009</v>
      </c>
      <c r="H29" s="294">
        <f>B29*0.095</f>
        <v>6628.112000000001</v>
      </c>
      <c r="I29" s="134">
        <f>SUM(B29:H29)</f>
        <v>92625.673493440001</v>
      </c>
      <c r="J29" s="800"/>
      <c r="M29" s="288"/>
    </row>
    <row r="30" spans="1:13" ht="18" customHeight="1" x14ac:dyDescent="0.2">
      <c r="A30" s="295" t="s">
        <v>201</v>
      </c>
      <c r="B30" s="294">
        <v>49276</v>
      </c>
      <c r="C30" s="294">
        <f t="shared" si="8"/>
        <v>3769.614</v>
      </c>
      <c r="D30" s="294">
        <v>120</v>
      </c>
      <c r="E30" s="294">
        <f t="shared" si="9"/>
        <v>250.63744640000002</v>
      </c>
      <c r="F30" s="294">
        <v>1118.961</v>
      </c>
      <c r="G30" s="294">
        <v>4777.76</v>
      </c>
      <c r="H30" s="294">
        <f>B30*0.095</f>
        <v>4681.22</v>
      </c>
      <c r="I30" s="134">
        <f t="shared" si="10"/>
        <v>63994.192446400004</v>
      </c>
      <c r="J30" s="800"/>
    </row>
    <row r="31" spans="1:13" ht="18" customHeight="1" x14ac:dyDescent="0.2">
      <c r="A31" s="296" t="s">
        <v>191</v>
      </c>
      <c r="B31" s="297">
        <v>37107</v>
      </c>
      <c r="C31" s="297">
        <f t="shared" si="8"/>
        <v>2838.6855</v>
      </c>
      <c r="D31" s="297">
        <v>119.9</v>
      </c>
      <c r="E31" s="297">
        <f t="shared" si="9"/>
        <v>188.7410448</v>
      </c>
      <c r="F31" s="297">
        <v>1455.671</v>
      </c>
      <c r="G31" s="297">
        <v>4777.76</v>
      </c>
      <c r="H31" s="297">
        <f>B31*0.095</f>
        <v>3525.165</v>
      </c>
      <c r="I31" s="135">
        <f t="shared" si="10"/>
        <v>50012.922544800007</v>
      </c>
      <c r="J31" s="800"/>
    </row>
    <row r="32" spans="1:13" ht="18" customHeight="1" x14ac:dyDescent="0.2">
      <c r="A32" s="292" t="s">
        <v>306</v>
      </c>
      <c r="B32" s="293">
        <v>7721</v>
      </c>
      <c r="C32" s="293">
        <f t="shared" si="8"/>
        <v>590.65649999999994</v>
      </c>
      <c r="D32" s="293">
        <v>60</v>
      </c>
      <c r="E32" s="293">
        <f t="shared" si="9"/>
        <v>39.272094400000007</v>
      </c>
      <c r="F32" s="293">
        <v>650.21119999999996</v>
      </c>
      <c r="G32" s="299"/>
      <c r="H32" s="299"/>
      <c r="I32" s="136">
        <f>SUM(B32:H32)</f>
        <v>9061.1397943999982</v>
      </c>
      <c r="J32" s="800"/>
    </row>
    <row r="33" spans="1:12" ht="18" customHeight="1" x14ac:dyDescent="0.2">
      <c r="A33" s="295" t="s">
        <v>305</v>
      </c>
      <c r="B33" s="294">
        <v>3469</v>
      </c>
      <c r="C33" s="294">
        <f t="shared" si="8"/>
        <v>265.37849999999997</v>
      </c>
      <c r="D33" s="294">
        <v>50</v>
      </c>
      <c r="E33" s="294">
        <f t="shared" si="9"/>
        <v>17.6447216</v>
      </c>
      <c r="F33" s="294">
        <v>650.21119999999996</v>
      </c>
      <c r="G33" s="301"/>
      <c r="H33" s="301"/>
      <c r="I33" s="134">
        <f t="shared" si="10"/>
        <v>4452.2344216000001</v>
      </c>
      <c r="J33" s="800"/>
    </row>
    <row r="34" spans="1:12" ht="18" customHeight="1" x14ac:dyDescent="0.2">
      <c r="A34" s="295" t="s">
        <v>304</v>
      </c>
      <c r="B34" s="294">
        <v>17372</v>
      </c>
      <c r="C34" s="294">
        <f t="shared" si="8"/>
        <v>1328.9580000000001</v>
      </c>
      <c r="D34" s="294">
        <v>70</v>
      </c>
      <c r="E34" s="294">
        <f t="shared" si="9"/>
        <v>88.360940800000009</v>
      </c>
      <c r="F34" s="294">
        <v>650.21119999999996</v>
      </c>
      <c r="G34" s="301"/>
      <c r="H34" s="301"/>
      <c r="I34" s="134">
        <f>SUM(B34:H34)</f>
        <v>19509.530140800001</v>
      </c>
      <c r="J34" s="800"/>
    </row>
    <row r="35" spans="1:12" ht="15.75" customHeight="1" x14ac:dyDescent="0.25">
      <c r="A35" s="328" t="s">
        <v>311</v>
      </c>
      <c r="B35" s="293">
        <v>-3856.11</v>
      </c>
      <c r="C35" s="293">
        <f t="shared" si="8"/>
        <v>-294.99241499999999</v>
      </c>
      <c r="D35" s="293"/>
      <c r="E35" s="293">
        <v>-148.66</v>
      </c>
      <c r="F35" s="293"/>
      <c r="G35" s="314">
        <v>1233.76</v>
      </c>
      <c r="H35" s="293">
        <v>-366.36</v>
      </c>
      <c r="I35" s="136">
        <f>SUM(B35:H35)</f>
        <v>-3432.3624150000001</v>
      </c>
      <c r="J35" s="800"/>
      <c r="L35" s="288"/>
    </row>
    <row r="36" spans="1:12" ht="16.5" customHeight="1" x14ac:dyDescent="0.2">
      <c r="A36" s="327" t="s">
        <v>307</v>
      </c>
      <c r="B36" s="315"/>
      <c r="C36" s="315"/>
      <c r="D36" s="315"/>
      <c r="E36" s="315">
        <v>-8383</v>
      </c>
      <c r="F36" s="315"/>
      <c r="G36" s="316">
        <v>-14771.84</v>
      </c>
      <c r="H36" s="316"/>
      <c r="I36" s="135">
        <f>SUM(B36:H36)</f>
        <v>-23154.84</v>
      </c>
      <c r="J36" s="800"/>
    </row>
    <row r="37" spans="1:12" ht="18" customHeight="1" thickBot="1" x14ac:dyDescent="0.25">
      <c r="A37" s="302"/>
      <c r="B37" s="326">
        <f>SUM(B2:B36)</f>
        <v>1673766.0899999999</v>
      </c>
      <c r="C37" s="325">
        <f t="shared" ref="C37:H37" si="11">SUM(C2:C36)</f>
        <v>128043.105885</v>
      </c>
      <c r="D37" s="325">
        <f t="shared" si="11"/>
        <v>4510</v>
      </c>
      <c r="E37" s="326">
        <f t="shared" si="11"/>
        <v>47945.713001439981</v>
      </c>
      <c r="F37" s="325">
        <f t="shared" si="11"/>
        <v>49251.170799999978</v>
      </c>
      <c r="G37" s="325">
        <f t="shared" si="11"/>
        <v>188738.84000000005</v>
      </c>
      <c r="H37" s="326">
        <f t="shared" si="11"/>
        <v>154762.57900000003</v>
      </c>
      <c r="I37" s="325">
        <f>SUM(I2:I36)</f>
        <v>2247017.4986864403</v>
      </c>
      <c r="J37" s="800"/>
    </row>
    <row r="38" spans="1:12" ht="14.25" customHeight="1" thickTop="1" x14ac:dyDescent="0.2">
      <c r="A38" s="215" t="s">
        <v>316</v>
      </c>
      <c r="B38" s="215"/>
      <c r="C38" s="797">
        <f>SUM(C37:H37)</f>
        <v>573251.40868644009</v>
      </c>
      <c r="D38" s="798"/>
      <c r="E38" s="798"/>
      <c r="F38" s="798"/>
      <c r="G38" s="798"/>
      <c r="H38" s="799"/>
      <c r="I38" s="215"/>
      <c r="J38" s="800"/>
    </row>
    <row r="39" spans="1:12" ht="13.5" customHeight="1" x14ac:dyDescent="0.2">
      <c r="A39" s="19" t="s">
        <v>302</v>
      </c>
      <c r="B39" s="88"/>
      <c r="C39" s="88"/>
      <c r="D39" s="88"/>
      <c r="E39" s="88"/>
      <c r="F39" s="88"/>
      <c r="G39" s="88"/>
      <c r="H39" s="88"/>
    </row>
  </sheetData>
  <mergeCells count="2">
    <mergeCell ref="C38:H38"/>
    <mergeCell ref="J1:J38"/>
  </mergeCells>
  <phoneticPr fontId="18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F2"/>
    </sheetView>
  </sheetViews>
  <sheetFormatPr defaultRowHeight="12.75" x14ac:dyDescent="0.2"/>
  <cols>
    <col min="1" max="1" width="6.28515625" customWidth="1"/>
    <col min="2" max="3" width="11.28515625" hidden="1" customWidth="1"/>
    <col min="4" max="4" width="11.28515625" style="286" customWidth="1"/>
    <col min="5" max="7" width="14" customWidth="1"/>
    <col min="8" max="8" width="11.42578125" customWidth="1"/>
    <col min="9" max="9" width="10.28515625" bestFit="1" customWidth="1"/>
  </cols>
  <sheetData>
    <row r="1" spans="1:7" ht="20.100000000000001" customHeight="1" x14ac:dyDescent="0.3">
      <c r="A1" s="801" t="s">
        <v>478</v>
      </c>
      <c r="B1" s="801"/>
      <c r="C1" s="801"/>
      <c r="D1" s="801"/>
      <c r="E1" s="801"/>
      <c r="F1" s="801"/>
      <c r="G1" s="456"/>
    </row>
    <row r="2" spans="1:7" ht="20.100000000000001" customHeight="1" x14ac:dyDescent="0.2">
      <c r="A2" s="801"/>
      <c r="B2" s="801"/>
      <c r="C2" s="801"/>
      <c r="D2" s="801"/>
      <c r="E2" s="801"/>
      <c r="F2" s="801"/>
      <c r="G2" s="21"/>
    </row>
    <row r="3" spans="1:7" ht="20.100000000000001" customHeight="1" x14ac:dyDescent="0.2">
      <c r="A3" s="804" t="s">
        <v>121</v>
      </c>
      <c r="B3" s="460" t="s">
        <v>491</v>
      </c>
      <c r="C3" s="460" t="s">
        <v>524</v>
      </c>
      <c r="D3" s="414" t="s">
        <v>558</v>
      </c>
      <c r="E3" s="414" t="s">
        <v>625</v>
      </c>
      <c r="F3" s="414" t="s">
        <v>655</v>
      </c>
    </row>
    <row r="4" spans="1:7" ht="20.100000000000001" customHeight="1" x14ac:dyDescent="0.25">
      <c r="A4" s="803"/>
      <c r="B4" s="416">
        <v>16.64</v>
      </c>
      <c r="C4" s="416">
        <v>17.12</v>
      </c>
      <c r="D4" s="416">
        <v>17.43</v>
      </c>
      <c r="E4" s="416">
        <v>19.5</v>
      </c>
      <c r="F4" s="416">
        <v>21.49</v>
      </c>
      <c r="G4" s="17"/>
    </row>
    <row r="5" spans="1:7" ht="20.100000000000001" customHeight="1" x14ac:dyDescent="0.2">
      <c r="A5" s="458"/>
      <c r="B5" s="419"/>
      <c r="C5" s="419"/>
      <c r="D5" s="418"/>
      <c r="E5" s="418"/>
      <c r="F5" s="418"/>
      <c r="G5" s="15"/>
    </row>
    <row r="6" spans="1:7" ht="20.100000000000001" customHeight="1" x14ac:dyDescent="0.2">
      <c r="A6" s="804" t="s">
        <v>121</v>
      </c>
      <c r="B6" s="459" t="s">
        <v>492</v>
      </c>
      <c r="C6" s="459" t="s">
        <v>525</v>
      </c>
      <c r="D6" s="415" t="s">
        <v>559</v>
      </c>
      <c r="E6" s="415" t="s">
        <v>626</v>
      </c>
      <c r="F6" s="415" t="s">
        <v>656</v>
      </c>
      <c r="G6" s="15"/>
    </row>
    <row r="7" spans="1:7" ht="20.100000000000001" customHeight="1" x14ac:dyDescent="0.2">
      <c r="A7" s="803"/>
      <c r="B7" s="416">
        <v>18.91</v>
      </c>
      <c r="C7" s="416">
        <v>21.01</v>
      </c>
      <c r="D7" s="416">
        <v>21.39</v>
      </c>
      <c r="E7" s="416">
        <v>22.25</v>
      </c>
      <c r="F7" s="416">
        <v>24.43</v>
      </c>
      <c r="G7" s="15"/>
    </row>
    <row r="8" spans="1:7" ht="20.100000000000001" customHeight="1" x14ac:dyDescent="0.2">
      <c r="A8" s="458"/>
      <c r="B8" s="419"/>
      <c r="C8" s="419"/>
      <c r="D8" s="418"/>
      <c r="E8" s="418"/>
      <c r="F8" s="418"/>
      <c r="G8" s="15"/>
    </row>
    <row r="9" spans="1:7" ht="20.100000000000001" customHeight="1" x14ac:dyDescent="0.2">
      <c r="A9" s="804" t="s">
        <v>121</v>
      </c>
      <c r="B9" s="459" t="s">
        <v>493</v>
      </c>
      <c r="C9" s="459" t="s">
        <v>526</v>
      </c>
      <c r="D9" s="415" t="s">
        <v>560</v>
      </c>
      <c r="E9" s="415" t="s">
        <v>627</v>
      </c>
      <c r="F9" s="415" t="s">
        <v>657</v>
      </c>
      <c r="G9" s="15"/>
    </row>
    <row r="10" spans="1:7" ht="20.100000000000001" customHeight="1" x14ac:dyDescent="0.2">
      <c r="A10" s="803"/>
      <c r="B10" s="416">
        <v>21.34</v>
      </c>
      <c r="C10" s="416">
        <v>24.64</v>
      </c>
      <c r="D10" s="416">
        <v>25.08</v>
      </c>
      <c r="E10" s="416">
        <v>26.08</v>
      </c>
      <c r="F10" s="416">
        <v>29.05</v>
      </c>
      <c r="G10" s="15"/>
    </row>
    <row r="11" spans="1:7" ht="20.100000000000001" customHeight="1" x14ac:dyDescent="0.2">
      <c r="A11" s="458"/>
      <c r="B11" s="419"/>
      <c r="C11" s="419"/>
      <c r="D11" s="418"/>
      <c r="E11" s="418"/>
      <c r="F11" s="418"/>
    </row>
    <row r="12" spans="1:7" ht="20.100000000000001" customHeight="1" x14ac:dyDescent="0.2">
      <c r="A12" s="804" t="s">
        <v>121</v>
      </c>
      <c r="B12" s="459" t="s">
        <v>494</v>
      </c>
      <c r="C12" s="459" t="s">
        <v>527</v>
      </c>
      <c r="D12" s="415" t="s">
        <v>561</v>
      </c>
      <c r="E12" s="415" t="s">
        <v>628</v>
      </c>
      <c r="F12" s="415" t="s">
        <v>658</v>
      </c>
    </row>
    <row r="13" spans="1:7" ht="20.100000000000001" customHeight="1" x14ac:dyDescent="0.2">
      <c r="A13" s="803"/>
      <c r="B13" s="416">
        <v>22.15</v>
      </c>
      <c r="C13" s="416">
        <v>27.15</v>
      </c>
      <c r="D13" s="416">
        <v>27.64</v>
      </c>
      <c r="E13" s="416">
        <v>28.75</v>
      </c>
      <c r="F13" s="416">
        <v>31.33</v>
      </c>
    </row>
    <row r="14" spans="1:7" ht="20.100000000000001" customHeight="1" x14ac:dyDescent="0.2">
      <c r="A14" s="716"/>
      <c r="B14" s="419"/>
      <c r="C14" s="419"/>
      <c r="D14" s="418"/>
      <c r="E14" s="418"/>
      <c r="F14" s="418"/>
    </row>
    <row r="15" spans="1:7" ht="20.100000000000001" customHeight="1" x14ac:dyDescent="0.2">
      <c r="A15" s="802" t="s">
        <v>121</v>
      </c>
      <c r="B15" s="715" t="s">
        <v>520</v>
      </c>
      <c r="C15" s="715" t="s">
        <v>528</v>
      </c>
      <c r="D15" s="714" t="s">
        <v>562</v>
      </c>
      <c r="E15" s="714" t="s">
        <v>629</v>
      </c>
      <c r="F15" s="714" t="s">
        <v>659</v>
      </c>
    </row>
    <row r="16" spans="1:7" ht="20.100000000000001" customHeight="1" x14ac:dyDescent="0.2">
      <c r="A16" s="803"/>
      <c r="B16" s="416">
        <v>28.08</v>
      </c>
      <c r="C16" s="416">
        <v>28.89</v>
      </c>
      <c r="D16" s="416">
        <v>29.41</v>
      </c>
      <c r="E16" s="416">
        <v>30.59</v>
      </c>
      <c r="F16" s="416">
        <v>32.94</v>
      </c>
    </row>
    <row r="17" spans="1:6" ht="20.100000000000001" customHeight="1" thickBot="1" x14ac:dyDescent="0.25">
      <c r="A17" s="457"/>
      <c r="B17" s="420"/>
      <c r="C17" s="420"/>
      <c r="D17" s="420"/>
      <c r="E17" s="417"/>
      <c r="F17" s="417"/>
    </row>
    <row r="18" spans="1:6" ht="20.100000000000001" customHeight="1" x14ac:dyDescent="0.2"/>
    <row r="19" spans="1:6" ht="20.100000000000001" customHeight="1" x14ac:dyDescent="0.2"/>
    <row r="20" spans="1:6" ht="20.100000000000001" customHeight="1" x14ac:dyDescent="0.2"/>
    <row r="21" spans="1:6" ht="20.100000000000001" customHeight="1" x14ac:dyDescent="0.2"/>
    <row r="22" spans="1:6" ht="20.100000000000001" customHeight="1" x14ac:dyDescent="0.2"/>
    <row r="23" spans="1:6" ht="20.100000000000001" customHeight="1" x14ac:dyDescent="0.2"/>
    <row r="24" spans="1:6" ht="20.100000000000001" customHeight="1" x14ac:dyDescent="0.2"/>
    <row r="25" spans="1:6" ht="20.100000000000001" customHeight="1" x14ac:dyDescent="0.2"/>
    <row r="26" spans="1:6" ht="20.100000000000001" customHeight="1" x14ac:dyDescent="0.2"/>
    <row r="27" spans="1:6" ht="20.100000000000001" customHeight="1" x14ac:dyDescent="0.2"/>
    <row r="28" spans="1:6" ht="20.100000000000001" customHeight="1" x14ac:dyDescent="0.2"/>
    <row r="29" spans="1:6" ht="20.100000000000001" customHeight="1" x14ac:dyDescent="0.2"/>
  </sheetData>
  <mergeCells count="6">
    <mergeCell ref="A1:F2"/>
    <mergeCell ref="A15:A16"/>
    <mergeCell ref="A6:A7"/>
    <mergeCell ref="A9:A10"/>
    <mergeCell ref="A12:A13"/>
    <mergeCell ref="A3:A4"/>
  </mergeCells>
  <phoneticPr fontId="18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defaultColWidth="9.140625" defaultRowHeight="18.75" customHeight="1" x14ac:dyDescent="0.3"/>
  <cols>
    <col min="1" max="1" width="46" style="93" bestFit="1" customWidth="1"/>
    <col min="2" max="2" width="10.42578125" style="41" hidden="1" customWidth="1"/>
    <col min="3" max="8" width="10.42578125" style="24" hidden="1" customWidth="1"/>
    <col min="9" max="9" width="0" style="24" hidden="1" customWidth="1"/>
    <col min="10" max="16384" width="9.140625" style="24"/>
  </cols>
  <sheetData>
    <row r="1" spans="1:12" s="42" customFormat="1" ht="18.75" customHeight="1" x14ac:dyDescent="0.3">
      <c r="A1" s="175" t="s">
        <v>410</v>
      </c>
      <c r="B1" s="162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customHeight="1" x14ac:dyDescent="0.3">
      <c r="A2" s="94"/>
      <c r="B2" s="45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42" customFormat="1" ht="18.75" customHeight="1" x14ac:dyDescent="0.3">
      <c r="A3" s="37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s="119" customFormat="1" ht="18.75" customHeight="1" x14ac:dyDescent="0.3">
      <c r="A4" s="97"/>
      <c r="B4" s="97"/>
      <c r="C4" s="97"/>
      <c r="D4" s="97"/>
      <c r="E4" s="97"/>
      <c r="F4" s="513"/>
      <c r="G4" s="513"/>
      <c r="H4" s="513"/>
      <c r="I4" s="513"/>
      <c r="J4" s="513"/>
      <c r="K4" s="513"/>
      <c r="L4" s="513"/>
    </row>
    <row r="5" spans="1:12" s="42" customFormat="1" ht="24.95" customHeight="1" x14ac:dyDescent="0.3">
      <c r="A5" s="37"/>
      <c r="B5" s="157"/>
      <c r="C5" s="157"/>
      <c r="D5" s="157"/>
      <c r="E5" s="157"/>
      <c r="F5" s="514"/>
      <c r="G5" s="514"/>
      <c r="H5" s="514"/>
      <c r="I5" s="514"/>
      <c r="J5" s="514"/>
      <c r="K5" s="514"/>
      <c r="L5" s="514"/>
    </row>
    <row r="6" spans="1:12" ht="24.95" customHeight="1" x14ac:dyDescent="0.3">
      <c r="A6" s="59" t="s">
        <v>30</v>
      </c>
      <c r="B6" s="58">
        <v>2000</v>
      </c>
      <c r="C6" s="58">
        <v>600</v>
      </c>
      <c r="D6" s="58">
        <v>500</v>
      </c>
      <c r="E6" s="58">
        <v>800</v>
      </c>
      <c r="F6" s="466">
        <v>800</v>
      </c>
      <c r="G6" s="466">
        <v>600</v>
      </c>
      <c r="H6" s="466">
        <v>700</v>
      </c>
      <c r="I6" s="466">
        <v>750</v>
      </c>
      <c r="J6" s="466">
        <v>750</v>
      </c>
      <c r="K6" s="466">
        <v>750</v>
      </c>
      <c r="L6" s="466">
        <v>750</v>
      </c>
    </row>
    <row r="7" spans="1:12" ht="24.95" customHeight="1" x14ac:dyDescent="0.3">
      <c r="A7" s="59" t="s">
        <v>31</v>
      </c>
      <c r="B7" s="58">
        <v>4600</v>
      </c>
      <c r="C7" s="58">
        <v>3500</v>
      </c>
      <c r="D7" s="58">
        <v>4000</v>
      </c>
      <c r="E7" s="58">
        <v>2500</v>
      </c>
      <c r="F7" s="466">
        <v>1800</v>
      </c>
      <c r="G7" s="466">
        <v>2000</v>
      </c>
      <c r="H7" s="466">
        <v>2100</v>
      </c>
      <c r="I7" s="466">
        <v>2500</v>
      </c>
      <c r="J7" s="466">
        <v>2800</v>
      </c>
      <c r="K7" s="466">
        <v>3000</v>
      </c>
      <c r="L7" s="466">
        <v>3000</v>
      </c>
    </row>
    <row r="8" spans="1:12" ht="24.95" customHeight="1" x14ac:dyDescent="0.3">
      <c r="A8" s="50" t="s">
        <v>133</v>
      </c>
      <c r="B8" s="38">
        <v>600</v>
      </c>
      <c r="C8" s="38">
        <v>500</v>
      </c>
      <c r="D8" s="38">
        <v>500</v>
      </c>
      <c r="E8" s="38">
        <v>500</v>
      </c>
      <c r="F8" s="477">
        <v>500</v>
      </c>
      <c r="G8" s="477">
        <v>500</v>
      </c>
      <c r="H8" s="477">
        <v>500</v>
      </c>
      <c r="I8" s="477">
        <v>500</v>
      </c>
      <c r="J8" s="477">
        <v>500</v>
      </c>
      <c r="K8" s="477">
        <v>500</v>
      </c>
      <c r="L8" s="477">
        <v>500</v>
      </c>
    </row>
    <row r="9" spans="1:12" ht="24.95" customHeight="1" x14ac:dyDescent="0.3">
      <c r="A9" s="59" t="s">
        <v>590</v>
      </c>
      <c r="B9" s="58">
        <v>800</v>
      </c>
      <c r="C9" s="58"/>
      <c r="D9" s="58">
        <v>300</v>
      </c>
      <c r="E9" s="58">
        <v>400</v>
      </c>
      <c r="F9" s="466">
        <v>400</v>
      </c>
      <c r="G9" s="466">
        <v>600</v>
      </c>
      <c r="H9" s="466">
        <v>600</v>
      </c>
      <c r="I9" s="466">
        <v>800</v>
      </c>
      <c r="J9" s="466">
        <v>1000</v>
      </c>
      <c r="K9" s="466">
        <v>1200</v>
      </c>
      <c r="L9" s="466">
        <v>1200</v>
      </c>
    </row>
    <row r="10" spans="1:12" ht="24.95" hidden="1" customHeight="1" x14ac:dyDescent="0.3">
      <c r="A10" s="59" t="s">
        <v>301</v>
      </c>
      <c r="B10" s="58"/>
      <c r="C10" s="58">
        <v>600</v>
      </c>
      <c r="D10" s="58"/>
      <c r="E10" s="58"/>
      <c r="F10" s="466"/>
      <c r="G10" s="466"/>
      <c r="H10" s="466"/>
      <c r="I10" s="466"/>
      <c r="J10" s="466"/>
      <c r="K10" s="466"/>
      <c r="L10" s="466"/>
    </row>
    <row r="11" spans="1:12" ht="24.95" customHeight="1" x14ac:dyDescent="0.3">
      <c r="A11" s="360"/>
      <c r="B11" s="58"/>
      <c r="C11" s="58"/>
      <c r="D11" s="58"/>
      <c r="E11" s="58"/>
      <c r="F11" s="466"/>
      <c r="G11" s="466"/>
      <c r="H11" s="466"/>
      <c r="I11" s="466"/>
      <c r="J11" s="466"/>
      <c r="K11" s="466"/>
      <c r="L11" s="466"/>
    </row>
    <row r="12" spans="1:12" ht="24.95" customHeight="1" x14ac:dyDescent="0.3">
      <c r="A12" s="360"/>
      <c r="B12" s="58"/>
      <c r="C12" s="58"/>
      <c r="D12" s="58"/>
      <c r="E12" s="58"/>
      <c r="F12" s="466"/>
      <c r="G12" s="466"/>
      <c r="H12" s="466"/>
      <c r="I12" s="466"/>
      <c r="J12" s="466"/>
      <c r="K12" s="466"/>
      <c r="L12" s="466"/>
    </row>
    <row r="13" spans="1:12" ht="24.95" customHeight="1" thickBot="1" x14ac:dyDescent="0.35">
      <c r="A13" s="356"/>
      <c r="B13" s="239">
        <v>925</v>
      </c>
      <c r="C13" s="239"/>
      <c r="D13" s="239"/>
      <c r="E13" s="239"/>
      <c r="F13" s="569"/>
      <c r="G13" s="569"/>
      <c r="H13" s="569"/>
      <c r="I13" s="569"/>
      <c r="J13" s="569"/>
      <c r="K13" s="569"/>
      <c r="L13" s="569"/>
    </row>
    <row r="14" spans="1:12" ht="24.95" customHeight="1" thickTop="1" x14ac:dyDescent="0.3">
      <c r="A14" s="99" t="s">
        <v>84</v>
      </c>
      <c r="B14" s="129">
        <f t="shared" ref="B14:H14" si="0">SUM(B4:B13)</f>
        <v>8925</v>
      </c>
      <c r="C14" s="129">
        <f t="shared" si="0"/>
        <v>5200</v>
      </c>
      <c r="D14" s="129">
        <f t="shared" si="0"/>
        <v>5300</v>
      </c>
      <c r="E14" s="129">
        <f t="shared" si="0"/>
        <v>4200</v>
      </c>
      <c r="F14" s="526">
        <f t="shared" si="0"/>
        <v>3500</v>
      </c>
      <c r="G14" s="526">
        <f>SUM(G4:G13)</f>
        <v>3700</v>
      </c>
      <c r="H14" s="526">
        <f t="shared" si="0"/>
        <v>3900</v>
      </c>
      <c r="I14" s="526">
        <f>SUM(I4:I13)</f>
        <v>4550</v>
      </c>
      <c r="J14" s="526">
        <f>SUM(J4:J13)</f>
        <v>5050</v>
      </c>
      <c r="K14" s="526">
        <f>SUM(K4:K13)</f>
        <v>5450</v>
      </c>
      <c r="L14" s="526">
        <f>SUM(L4:L13)</f>
        <v>5450</v>
      </c>
    </row>
    <row r="15" spans="1:12" ht="18.75" customHeight="1" x14ac:dyDescent="0.3">
      <c r="B15" s="41" t="s">
        <v>85</v>
      </c>
    </row>
    <row r="16" spans="1:12" ht="18.75" customHeight="1" x14ac:dyDescent="0.3">
      <c r="A16" s="16"/>
    </row>
    <row r="17" spans="1:1" ht="18.75" customHeight="1" x14ac:dyDescent="0.3">
      <c r="A17" s="16"/>
    </row>
    <row r="18" spans="1:1" ht="18.75" customHeight="1" x14ac:dyDescent="0.3">
      <c r="A18" s="16"/>
    </row>
    <row r="19" spans="1:1" ht="18.75" customHeight="1" x14ac:dyDescent="0.3">
      <c r="A19" s="16"/>
    </row>
    <row r="20" spans="1:1" ht="18.75" customHeight="1" x14ac:dyDescent="0.3">
      <c r="A20" s="16"/>
    </row>
    <row r="21" spans="1:1" ht="18.75" customHeight="1" x14ac:dyDescent="0.3">
      <c r="A21" s="16"/>
    </row>
    <row r="22" spans="1:1" ht="18.75" customHeight="1" x14ac:dyDescent="0.3">
      <c r="A22" s="16"/>
    </row>
    <row r="23" spans="1:1" ht="18.75" customHeight="1" x14ac:dyDescent="0.3">
      <c r="A23" s="16"/>
    </row>
    <row r="24" spans="1:1" ht="18.75" customHeight="1" x14ac:dyDescent="0.3">
      <c r="A24" s="16"/>
    </row>
    <row r="25" spans="1:1" ht="18.75" customHeight="1" x14ac:dyDescent="0.3">
      <c r="A25" s="16"/>
    </row>
    <row r="26" spans="1:1" ht="18.75" customHeight="1" x14ac:dyDescent="0.3">
      <c r="A26" s="16"/>
    </row>
    <row r="27" spans="1:1" ht="18.75" customHeight="1" x14ac:dyDescent="0.3">
      <c r="A27" s="16"/>
    </row>
    <row r="28" spans="1:1" ht="18.75" customHeight="1" x14ac:dyDescent="0.3">
      <c r="A28" s="16"/>
    </row>
    <row r="29" spans="1:1" ht="18.75" customHeight="1" x14ac:dyDescent="0.3">
      <c r="A29" s="16"/>
    </row>
    <row r="30" spans="1:1" ht="18.75" customHeight="1" x14ac:dyDescent="0.3">
      <c r="A30" s="16"/>
    </row>
  </sheetData>
  <sortState ref="A11:E14">
    <sortCondition ref="A11:A14"/>
  </sortState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defaultColWidth="9.140625" defaultRowHeight="14.25" x14ac:dyDescent="0.2"/>
  <cols>
    <col min="1" max="1" width="32.7109375" style="145" bestFit="1" customWidth="1"/>
    <col min="2" max="2" width="10.42578125" style="145" hidden="1" customWidth="1"/>
    <col min="3" max="3" width="10" style="145" hidden="1" customWidth="1"/>
    <col min="4" max="8" width="10.42578125" style="145" hidden="1" customWidth="1"/>
    <col min="9" max="9" width="0" style="145" hidden="1" customWidth="1"/>
    <col min="10" max="16384" width="9.140625" style="145"/>
  </cols>
  <sheetData>
    <row r="1" spans="1:12" ht="18" customHeight="1" x14ac:dyDescent="0.3">
      <c r="A1" s="175" t="s">
        <v>411</v>
      </c>
      <c r="B1" s="162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" customHeight="1" x14ac:dyDescent="0.3">
      <c r="A2" s="94"/>
      <c r="B2" s="45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8" customHeight="1" x14ac:dyDescent="0.3">
      <c r="A3" s="37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ht="18" customHeight="1" x14ac:dyDescent="0.3">
      <c r="A4" s="97"/>
      <c r="B4" s="97"/>
      <c r="C4" s="97"/>
      <c r="D4" s="97"/>
      <c r="E4" s="97"/>
      <c r="F4" s="513"/>
      <c r="G4" s="513"/>
      <c r="H4" s="513"/>
      <c r="I4" s="513"/>
      <c r="J4" s="513"/>
      <c r="K4" s="513"/>
      <c r="L4" s="513"/>
    </row>
    <row r="5" spans="1:12" ht="24.95" hidden="1" customHeight="1" x14ac:dyDescent="0.3">
      <c r="A5" s="50" t="s">
        <v>58</v>
      </c>
      <c r="B5" s="38">
        <v>400</v>
      </c>
      <c r="C5" s="38">
        <v>700</v>
      </c>
      <c r="D5" s="38" t="s">
        <v>365</v>
      </c>
      <c r="E5" s="38" t="s">
        <v>365</v>
      </c>
      <c r="F5" s="477" t="s">
        <v>365</v>
      </c>
      <c r="G5" s="477" t="s">
        <v>365</v>
      </c>
      <c r="H5" s="477" t="s">
        <v>365</v>
      </c>
      <c r="I5" s="477" t="s">
        <v>365</v>
      </c>
      <c r="J5" s="477" t="s">
        <v>365</v>
      </c>
      <c r="K5" s="477" t="s">
        <v>365</v>
      </c>
      <c r="L5" s="477" t="s">
        <v>365</v>
      </c>
    </row>
    <row r="6" spans="1:12" ht="24.95" customHeight="1" x14ac:dyDescent="0.3">
      <c r="A6" s="50" t="s">
        <v>59</v>
      </c>
      <c r="B6" s="38">
        <v>800</v>
      </c>
      <c r="C6" s="38">
        <v>800</v>
      </c>
      <c r="D6" s="38">
        <v>800</v>
      </c>
      <c r="E6" s="38">
        <v>800</v>
      </c>
      <c r="F6" s="477">
        <v>800</v>
      </c>
      <c r="G6" s="477">
        <v>800</v>
      </c>
      <c r="H6" s="477">
        <v>800</v>
      </c>
      <c r="I6" s="477">
        <v>1000</v>
      </c>
      <c r="J6" s="477">
        <v>1000</v>
      </c>
      <c r="K6" s="477">
        <v>1000</v>
      </c>
      <c r="L6" s="477">
        <v>1000</v>
      </c>
    </row>
    <row r="7" spans="1:12" ht="24.95" customHeight="1" x14ac:dyDescent="0.3">
      <c r="A7" s="50" t="s">
        <v>60</v>
      </c>
      <c r="B7" s="38">
        <v>700</v>
      </c>
      <c r="C7" s="38">
        <v>2600</v>
      </c>
      <c r="D7" s="38">
        <f>1700+1825</f>
        <v>3525</v>
      </c>
      <c r="E7" s="38">
        <f>1700+1825</f>
        <v>3525</v>
      </c>
      <c r="F7" s="477">
        <f>1700+1825</f>
        <v>3525</v>
      </c>
      <c r="G7" s="477">
        <f>1700+1825</f>
        <v>3525</v>
      </c>
      <c r="H7" s="477">
        <v>3600</v>
      </c>
      <c r="I7" s="477">
        <v>3600</v>
      </c>
      <c r="J7" s="477">
        <v>3600</v>
      </c>
      <c r="K7" s="477">
        <v>3600</v>
      </c>
      <c r="L7" s="477">
        <v>3600</v>
      </c>
    </row>
    <row r="8" spans="1:12" ht="24.95" hidden="1" customHeight="1" x14ac:dyDescent="0.3">
      <c r="A8" s="50" t="s">
        <v>61</v>
      </c>
      <c r="B8" s="58">
        <v>250</v>
      </c>
      <c r="C8" s="38" t="s">
        <v>365</v>
      </c>
      <c r="D8" s="38" t="s">
        <v>365</v>
      </c>
      <c r="E8" s="38" t="s">
        <v>365</v>
      </c>
      <c r="F8" s="477" t="s">
        <v>365</v>
      </c>
      <c r="G8" s="477" t="s">
        <v>365</v>
      </c>
      <c r="H8" s="477" t="s">
        <v>365</v>
      </c>
      <c r="I8" s="477" t="s">
        <v>365</v>
      </c>
      <c r="J8" s="477" t="s">
        <v>365</v>
      </c>
      <c r="K8" s="477" t="s">
        <v>365</v>
      </c>
      <c r="L8" s="477" t="s">
        <v>365</v>
      </c>
    </row>
    <row r="9" spans="1:12" ht="24.95" customHeight="1" x14ac:dyDescent="0.3">
      <c r="A9" s="50" t="s">
        <v>364</v>
      </c>
      <c r="B9" s="58">
        <v>125</v>
      </c>
      <c r="C9" s="38" t="s">
        <v>365</v>
      </c>
      <c r="D9" s="58">
        <f>610+460</f>
        <v>1070</v>
      </c>
      <c r="E9" s="58">
        <f>610+460</f>
        <v>1070</v>
      </c>
      <c r="F9" s="466">
        <f>610+460</f>
        <v>1070</v>
      </c>
      <c r="G9" s="466">
        <f>610+460</f>
        <v>1070</v>
      </c>
      <c r="H9" s="466">
        <v>1200</v>
      </c>
      <c r="I9" s="466">
        <v>1400</v>
      </c>
      <c r="J9" s="466">
        <v>1400</v>
      </c>
      <c r="K9" s="466">
        <v>1400</v>
      </c>
      <c r="L9" s="466">
        <v>1400</v>
      </c>
    </row>
    <row r="10" spans="1:12" ht="24.95" customHeight="1" x14ac:dyDescent="0.3">
      <c r="A10" s="50" t="s">
        <v>428</v>
      </c>
      <c r="B10" s="58"/>
      <c r="C10" s="38"/>
      <c r="D10" s="58"/>
      <c r="E10" s="156">
        <v>255</v>
      </c>
      <c r="F10" s="467">
        <v>275</v>
      </c>
      <c r="G10" s="467">
        <v>275</v>
      </c>
      <c r="H10" s="467">
        <v>300</v>
      </c>
      <c r="I10" s="467">
        <v>500</v>
      </c>
      <c r="J10" s="467">
        <v>500</v>
      </c>
      <c r="K10" s="467">
        <v>600</v>
      </c>
      <c r="L10" s="467">
        <v>600</v>
      </c>
    </row>
    <row r="11" spans="1:12" ht="24.95" customHeight="1" x14ac:dyDescent="0.3">
      <c r="A11" s="50" t="s">
        <v>601</v>
      </c>
      <c r="B11" s="58">
        <v>1000</v>
      </c>
      <c r="C11" s="58">
        <v>3400</v>
      </c>
      <c r="D11" s="58">
        <f>40*85</f>
        <v>3400</v>
      </c>
      <c r="E11" s="58">
        <f>40*85</f>
        <v>3400</v>
      </c>
      <c r="F11" s="466">
        <f>40*85</f>
        <v>3400</v>
      </c>
      <c r="G11" s="466">
        <f>40*85</f>
        <v>3400</v>
      </c>
      <c r="H11" s="466">
        <f>40*85</f>
        <v>3400</v>
      </c>
      <c r="I11" s="466">
        <f>45*55</f>
        <v>2475</v>
      </c>
      <c r="J11" s="466">
        <f>35*75</f>
        <v>2625</v>
      </c>
      <c r="K11" s="466">
        <f>35*75</f>
        <v>2625</v>
      </c>
      <c r="L11" s="466">
        <f>35*75</f>
        <v>2625</v>
      </c>
    </row>
    <row r="12" spans="1:12" ht="24.95" customHeight="1" x14ac:dyDescent="0.3">
      <c r="A12" s="50" t="s">
        <v>652</v>
      </c>
      <c r="B12" s="58">
        <v>500</v>
      </c>
      <c r="C12" s="58">
        <v>2125</v>
      </c>
      <c r="D12" s="58">
        <f>25*85</f>
        <v>2125</v>
      </c>
      <c r="E12" s="58">
        <f>25*85</f>
        <v>2125</v>
      </c>
      <c r="F12" s="466">
        <f>20*85</f>
        <v>1700</v>
      </c>
      <c r="G12" s="466">
        <f>20*85</f>
        <v>1700</v>
      </c>
      <c r="H12" s="466">
        <f>20*85</f>
        <v>1700</v>
      </c>
      <c r="I12" s="466">
        <f>25*55</f>
        <v>1375</v>
      </c>
      <c r="J12" s="466">
        <f>25*55</f>
        <v>1375</v>
      </c>
      <c r="K12" s="466">
        <f>20*55</f>
        <v>1100</v>
      </c>
      <c r="L12" s="466">
        <f>20*55</f>
        <v>1100</v>
      </c>
    </row>
    <row r="13" spans="1:12" ht="24.95" customHeight="1" x14ac:dyDescent="0.3">
      <c r="A13" s="62" t="s">
        <v>591</v>
      </c>
      <c r="B13" s="103">
        <v>100</v>
      </c>
      <c r="C13" s="103">
        <v>100</v>
      </c>
      <c r="D13" s="103">
        <v>150</v>
      </c>
      <c r="E13" s="103">
        <v>150</v>
      </c>
      <c r="F13" s="556">
        <v>150</v>
      </c>
      <c r="G13" s="556">
        <v>150</v>
      </c>
      <c r="H13" s="556">
        <v>150</v>
      </c>
      <c r="I13" s="556">
        <v>150</v>
      </c>
      <c r="J13" s="556">
        <v>225</v>
      </c>
      <c r="K13" s="556">
        <v>225</v>
      </c>
      <c r="L13" s="556">
        <v>225</v>
      </c>
    </row>
    <row r="14" spans="1:12" ht="24.95" customHeight="1" x14ac:dyDescent="0.3">
      <c r="A14" s="62" t="s">
        <v>592</v>
      </c>
      <c r="B14" s="103"/>
      <c r="C14" s="103">
        <v>60</v>
      </c>
      <c r="D14" s="103"/>
      <c r="E14" s="103">
        <v>60</v>
      </c>
      <c r="F14" s="556">
        <v>60</v>
      </c>
      <c r="G14" s="556">
        <v>60</v>
      </c>
      <c r="H14" s="556">
        <v>60</v>
      </c>
      <c r="I14" s="556">
        <v>60</v>
      </c>
      <c r="J14" s="556">
        <v>70</v>
      </c>
      <c r="K14" s="556">
        <v>70</v>
      </c>
      <c r="L14" s="556">
        <v>70</v>
      </c>
    </row>
    <row r="15" spans="1:12" ht="24.95" customHeight="1" x14ac:dyDescent="0.3">
      <c r="A15" s="62" t="s">
        <v>256</v>
      </c>
      <c r="B15" s="103">
        <v>70</v>
      </c>
      <c r="C15" s="103">
        <v>70</v>
      </c>
      <c r="D15" s="103">
        <v>70</v>
      </c>
      <c r="E15" s="103">
        <v>70</v>
      </c>
      <c r="F15" s="556">
        <v>70</v>
      </c>
      <c r="G15" s="556">
        <v>70</v>
      </c>
      <c r="H15" s="556">
        <v>70</v>
      </c>
      <c r="I15" s="556">
        <v>70</v>
      </c>
      <c r="J15" s="556">
        <v>70</v>
      </c>
      <c r="K15" s="556">
        <v>70</v>
      </c>
      <c r="L15" s="556">
        <v>70</v>
      </c>
    </row>
    <row r="16" spans="1:12" ht="24.95" customHeight="1" x14ac:dyDescent="0.3">
      <c r="A16" s="62" t="s">
        <v>593</v>
      </c>
      <c r="B16" s="103">
        <v>50</v>
      </c>
      <c r="C16" s="103">
        <v>85</v>
      </c>
      <c r="D16" s="103">
        <v>85</v>
      </c>
      <c r="E16" s="103">
        <v>85</v>
      </c>
      <c r="F16" s="556">
        <v>85</v>
      </c>
      <c r="G16" s="556">
        <v>85</v>
      </c>
      <c r="H16" s="556">
        <v>85</v>
      </c>
      <c r="I16" s="556">
        <v>55</v>
      </c>
      <c r="J16" s="556">
        <v>55</v>
      </c>
      <c r="K16" s="556">
        <v>55</v>
      </c>
      <c r="L16" s="556">
        <v>55</v>
      </c>
    </row>
    <row r="17" spans="1:12" ht="24.95" customHeight="1" x14ac:dyDescent="0.3">
      <c r="A17" s="62" t="s">
        <v>334</v>
      </c>
      <c r="B17" s="103"/>
      <c r="C17" s="103">
        <v>66</v>
      </c>
      <c r="D17" s="103">
        <f>70*2</f>
        <v>140</v>
      </c>
      <c r="E17" s="103">
        <f>70*2</f>
        <v>140</v>
      </c>
      <c r="F17" s="556">
        <f>70*2</f>
        <v>140</v>
      </c>
      <c r="G17" s="556">
        <f>70*2</f>
        <v>140</v>
      </c>
      <c r="H17" s="556">
        <f>70</f>
        <v>70</v>
      </c>
      <c r="I17" s="556">
        <v>70</v>
      </c>
      <c r="J17" s="556">
        <v>70</v>
      </c>
      <c r="K17" s="556">
        <v>70</v>
      </c>
      <c r="L17" s="556">
        <v>70</v>
      </c>
    </row>
    <row r="18" spans="1:12" ht="24.95" customHeight="1" x14ac:dyDescent="0.3">
      <c r="A18" s="62" t="s">
        <v>376</v>
      </c>
      <c r="B18" s="58"/>
      <c r="C18" s="58">
        <v>1500</v>
      </c>
      <c r="D18" s="58">
        <v>1500</v>
      </c>
      <c r="E18" s="58">
        <v>1600</v>
      </c>
      <c r="F18" s="467">
        <v>1600</v>
      </c>
      <c r="G18" s="467">
        <v>1600</v>
      </c>
      <c r="H18" s="467">
        <v>1700</v>
      </c>
      <c r="I18" s="467">
        <v>1800</v>
      </c>
      <c r="J18" s="467">
        <v>5200</v>
      </c>
      <c r="K18" s="467">
        <v>1800</v>
      </c>
      <c r="L18" s="467">
        <v>1800</v>
      </c>
    </row>
    <row r="19" spans="1:12" ht="24.95" customHeight="1" x14ac:dyDescent="0.3">
      <c r="A19" s="62" t="s">
        <v>529</v>
      </c>
      <c r="B19" s="58"/>
      <c r="C19" s="58"/>
      <c r="D19" s="58">
        <v>275</v>
      </c>
      <c r="E19" s="58">
        <v>300</v>
      </c>
      <c r="F19" s="466">
        <v>300</v>
      </c>
      <c r="G19" s="466">
        <v>300</v>
      </c>
      <c r="H19" s="466">
        <v>300</v>
      </c>
      <c r="I19" s="466">
        <v>300</v>
      </c>
      <c r="J19" s="466">
        <v>300</v>
      </c>
      <c r="K19" s="466">
        <v>300</v>
      </c>
      <c r="L19" s="466">
        <v>300</v>
      </c>
    </row>
    <row r="20" spans="1:12" ht="24.95" customHeight="1" x14ac:dyDescent="0.3">
      <c r="A20" s="62"/>
      <c r="B20" s="58"/>
      <c r="C20" s="58"/>
      <c r="D20" s="58"/>
      <c r="E20" s="58"/>
      <c r="F20" s="466"/>
      <c r="G20" s="466"/>
      <c r="H20" s="466"/>
      <c r="I20" s="466"/>
      <c r="J20" s="466"/>
      <c r="K20" s="466"/>
      <c r="L20" s="466"/>
    </row>
    <row r="21" spans="1:12" ht="24.95" customHeight="1" x14ac:dyDescent="0.3">
      <c r="A21" s="62"/>
      <c r="B21" s="350">
        <v>-1000</v>
      </c>
      <c r="C21" s="350"/>
      <c r="D21" s="350"/>
      <c r="E21" s="350"/>
      <c r="F21" s="468"/>
      <c r="G21" s="468"/>
      <c r="H21" s="468"/>
      <c r="I21" s="468"/>
      <c r="J21" s="468"/>
      <c r="K21" s="468"/>
      <c r="L21" s="468"/>
    </row>
    <row r="22" spans="1:12" ht="24.95" customHeight="1" x14ac:dyDescent="0.3">
      <c r="A22" s="109" t="s">
        <v>129</v>
      </c>
      <c r="B22" s="329">
        <f t="shared" ref="B22:H22" si="0">SUM(B4:B21)</f>
        <v>2995</v>
      </c>
      <c r="C22" s="383">
        <f t="shared" si="0"/>
        <v>11506</v>
      </c>
      <c r="D22" s="383">
        <f t="shared" si="0"/>
        <v>13140</v>
      </c>
      <c r="E22" s="383">
        <f t="shared" si="0"/>
        <v>13580</v>
      </c>
      <c r="F22" s="337">
        <f t="shared" si="0"/>
        <v>13175</v>
      </c>
      <c r="G22" s="337">
        <f>SUM(G4:G21)</f>
        <v>13175</v>
      </c>
      <c r="H22" s="337">
        <f t="shared" si="0"/>
        <v>13435</v>
      </c>
      <c r="I22" s="541">
        <f>SUM(I4:I21)</f>
        <v>12855</v>
      </c>
      <c r="J22" s="541">
        <f>SUM(J4:J21)</f>
        <v>16490</v>
      </c>
      <c r="K22" s="541">
        <f>SUM(K4:K21)</f>
        <v>12915</v>
      </c>
      <c r="L22" s="541">
        <f>SUM(L4:L21)</f>
        <v>12915</v>
      </c>
    </row>
    <row r="23" spans="1:12" ht="18" customHeight="1" x14ac:dyDescent="0.3">
      <c r="A23" s="107"/>
      <c r="B23" s="107"/>
      <c r="C23" s="107"/>
      <c r="D23" s="107"/>
    </row>
    <row r="24" spans="1:12" ht="18" customHeight="1" x14ac:dyDescent="0.3">
      <c r="A24" s="107"/>
      <c r="B24" s="107"/>
      <c r="C24" s="107"/>
      <c r="D24" s="107"/>
    </row>
    <row r="25" spans="1:12" ht="18" customHeight="1" x14ac:dyDescent="0.3">
      <c r="A25" s="107"/>
      <c r="B25" s="107"/>
      <c r="C25" s="107"/>
      <c r="D25" s="107"/>
    </row>
    <row r="26" spans="1:12" ht="18" customHeight="1" x14ac:dyDescent="0.3">
      <c r="A26" s="107"/>
      <c r="B26" s="107"/>
      <c r="C26" s="107"/>
      <c r="D26" s="107"/>
    </row>
    <row r="27" spans="1:12" ht="18" customHeight="1" x14ac:dyDescent="0.3">
      <c r="A27" s="107"/>
      <c r="B27" s="107"/>
      <c r="C27" s="107"/>
      <c r="D27" s="107"/>
    </row>
    <row r="28" spans="1:12" ht="18" customHeight="1" x14ac:dyDescent="0.3">
      <c r="A28" s="107"/>
      <c r="B28" s="107"/>
      <c r="C28" s="107"/>
      <c r="D28" s="107"/>
    </row>
    <row r="29" spans="1:12" ht="16.5" x14ac:dyDescent="0.3">
      <c r="A29" s="107"/>
      <c r="B29" s="107"/>
      <c r="C29" s="107"/>
      <c r="D29" s="107"/>
    </row>
    <row r="30" spans="1:12" ht="16.5" x14ac:dyDescent="0.3">
      <c r="A30" s="107"/>
      <c r="B30" s="107"/>
      <c r="C30" s="107"/>
      <c r="D30" s="107"/>
    </row>
    <row r="31" spans="1:12" ht="16.5" x14ac:dyDescent="0.3">
      <c r="A31" s="107"/>
      <c r="B31" s="107"/>
      <c r="C31" s="107"/>
      <c r="D31" s="107"/>
    </row>
  </sheetData>
  <sortState ref="A13:E16">
    <sortCondition ref="A13:A16"/>
  </sortState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/>
  </sheetViews>
  <sheetFormatPr defaultColWidth="9.140625" defaultRowHeight="16.5" x14ac:dyDescent="0.3"/>
  <cols>
    <col min="1" max="1" width="26.42578125" style="107" bestFit="1" customWidth="1"/>
    <col min="2" max="4" width="11.7109375" style="107" hidden="1" customWidth="1"/>
    <col min="5" max="8" width="10.28515625" style="107" hidden="1" customWidth="1"/>
    <col min="9" max="9" width="0" style="107" hidden="1" customWidth="1"/>
    <col min="10" max="16384" width="9.140625" style="107"/>
  </cols>
  <sheetData>
    <row r="1" spans="1:12" ht="18" customHeight="1" x14ac:dyDescent="0.3">
      <c r="A1" s="175" t="s">
        <v>10</v>
      </c>
      <c r="B1" s="162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" customHeight="1" x14ac:dyDescent="0.3">
      <c r="A2" s="94"/>
      <c r="B2" s="45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8" customHeight="1" x14ac:dyDescent="0.3">
      <c r="A3" s="37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ht="18" customHeight="1" x14ac:dyDescent="0.3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ht="24.75" customHeight="1" x14ac:dyDescent="0.3">
      <c r="A5" s="111" t="s">
        <v>11</v>
      </c>
      <c r="B5" s="38"/>
      <c r="C5" s="38"/>
      <c r="D5" s="38"/>
      <c r="E5" s="38"/>
      <c r="F5" s="477"/>
      <c r="G5" s="477"/>
      <c r="H5" s="477"/>
      <c r="I5" s="477"/>
      <c r="J5" s="477"/>
      <c r="K5" s="477"/>
      <c r="L5" s="477"/>
    </row>
    <row r="6" spans="1:12" ht="18" hidden="1" customHeight="1" x14ac:dyDescent="0.3">
      <c r="A6" s="50" t="s">
        <v>70</v>
      </c>
      <c r="B6" s="38">
        <v>200</v>
      </c>
      <c r="C6" s="38">
        <v>100</v>
      </c>
      <c r="D6" s="38">
        <v>100</v>
      </c>
      <c r="E6" s="38">
        <v>200</v>
      </c>
      <c r="F6" s="477">
        <v>200</v>
      </c>
      <c r="G6" s="477">
        <v>0</v>
      </c>
      <c r="H6" s="477">
        <v>0</v>
      </c>
      <c r="I6" s="477">
        <v>0</v>
      </c>
      <c r="J6" s="477">
        <v>0</v>
      </c>
      <c r="K6" s="477">
        <v>0</v>
      </c>
      <c r="L6" s="477">
        <v>0</v>
      </c>
    </row>
    <row r="7" spans="1:12" ht="18" hidden="1" customHeight="1" x14ac:dyDescent="0.3">
      <c r="A7" s="50" t="s">
        <v>13</v>
      </c>
      <c r="B7" s="38">
        <v>300</v>
      </c>
      <c r="C7" s="38">
        <v>100</v>
      </c>
      <c r="D7" s="38">
        <v>100</v>
      </c>
      <c r="E7" s="38">
        <v>0</v>
      </c>
      <c r="F7" s="477">
        <v>0</v>
      </c>
      <c r="G7" s="477">
        <v>0</v>
      </c>
      <c r="H7" s="477">
        <v>0</v>
      </c>
      <c r="I7" s="477">
        <v>0</v>
      </c>
      <c r="J7" s="477">
        <v>0</v>
      </c>
      <c r="K7" s="477">
        <v>0</v>
      </c>
      <c r="L7" s="477">
        <v>0</v>
      </c>
    </row>
    <row r="8" spans="1:12" ht="18" customHeight="1" x14ac:dyDescent="0.3">
      <c r="A8" s="50" t="s">
        <v>530</v>
      </c>
      <c r="B8" s="38">
        <v>200</v>
      </c>
      <c r="C8" s="38">
        <v>100</v>
      </c>
      <c r="D8" s="38">
        <v>100</v>
      </c>
      <c r="E8" s="38">
        <v>100</v>
      </c>
      <c r="F8" s="477">
        <v>100</v>
      </c>
      <c r="G8" s="477">
        <v>400</v>
      </c>
      <c r="H8" s="477">
        <v>400</v>
      </c>
      <c r="I8" s="477">
        <v>450</v>
      </c>
      <c r="J8" s="477">
        <v>450</v>
      </c>
      <c r="K8" s="477">
        <v>450</v>
      </c>
      <c r="L8" s="477">
        <v>450</v>
      </c>
    </row>
    <row r="9" spans="1:12" ht="18" customHeight="1" x14ac:dyDescent="0.3">
      <c r="A9" s="50" t="s">
        <v>615</v>
      </c>
      <c r="B9" s="38">
        <v>1400</v>
      </c>
      <c r="C9" s="38"/>
      <c r="D9" s="38"/>
      <c r="E9" s="38"/>
      <c r="F9" s="477"/>
      <c r="G9" s="477"/>
      <c r="H9" s="477"/>
      <c r="I9" s="477"/>
      <c r="J9" s="477">
        <f>((70*3)+5980+50)+(930+50)+(1305+50)</f>
        <v>8575</v>
      </c>
      <c r="K9" s="477">
        <v>0</v>
      </c>
      <c r="L9" s="477">
        <v>0</v>
      </c>
    </row>
    <row r="10" spans="1:12" ht="27.75" hidden="1" customHeight="1" x14ac:dyDescent="0.3">
      <c r="A10" s="112" t="s">
        <v>14</v>
      </c>
      <c r="B10" s="38"/>
      <c r="C10" s="38"/>
      <c r="D10" s="38"/>
      <c r="E10" s="38"/>
      <c r="F10" s="477"/>
      <c r="G10" s="477"/>
      <c r="H10" s="477"/>
      <c r="I10" s="477"/>
      <c r="J10" s="477"/>
      <c r="K10" s="477"/>
      <c r="L10" s="477"/>
    </row>
    <row r="11" spans="1:12" ht="18" hidden="1" customHeight="1" x14ac:dyDescent="0.3">
      <c r="A11" s="50" t="s">
        <v>15</v>
      </c>
      <c r="B11" s="58"/>
      <c r="C11" s="58"/>
      <c r="D11" s="58"/>
      <c r="E11" s="58"/>
      <c r="F11" s="466"/>
      <c r="G11" s="466"/>
      <c r="H11" s="466"/>
      <c r="I11" s="466"/>
      <c r="J11" s="466"/>
      <c r="K11" s="466"/>
      <c r="L11" s="466"/>
    </row>
    <row r="12" spans="1:12" ht="18" hidden="1" customHeight="1" x14ac:dyDescent="0.3">
      <c r="A12" s="351" t="s">
        <v>319</v>
      </c>
      <c r="B12" s="58">
        <v>1000</v>
      </c>
      <c r="C12" s="58"/>
      <c r="D12" s="58"/>
      <c r="E12" s="58"/>
      <c r="F12" s="466"/>
      <c r="G12" s="466"/>
      <c r="H12" s="466"/>
      <c r="I12" s="466"/>
      <c r="J12" s="466"/>
      <c r="K12" s="466"/>
      <c r="L12" s="466"/>
    </row>
    <row r="13" spans="1:12" ht="18" customHeight="1" x14ac:dyDescent="0.3">
      <c r="A13" s="351" t="s">
        <v>614</v>
      </c>
      <c r="B13" s="58"/>
      <c r="C13" s="58"/>
      <c r="D13" s="58"/>
      <c r="E13" s="58"/>
      <c r="F13" s="466"/>
      <c r="G13" s="466"/>
      <c r="H13" s="466"/>
      <c r="I13" s="466"/>
      <c r="J13" s="466">
        <v>2500</v>
      </c>
      <c r="K13" s="466">
        <v>2800</v>
      </c>
      <c r="L13" s="466">
        <v>2800</v>
      </c>
    </row>
    <row r="14" spans="1:12" ht="18" customHeight="1" x14ac:dyDescent="0.3">
      <c r="A14" s="50"/>
      <c r="B14" s="58"/>
      <c r="C14" s="58"/>
      <c r="D14" s="58"/>
      <c r="E14" s="58"/>
      <c r="F14" s="466"/>
      <c r="G14" s="466"/>
      <c r="H14" s="466"/>
      <c r="I14" s="466"/>
      <c r="J14" s="466"/>
      <c r="K14" s="466"/>
      <c r="L14" s="466"/>
    </row>
    <row r="15" spans="1:12" ht="18" customHeight="1" x14ac:dyDescent="0.3">
      <c r="A15" s="50"/>
      <c r="B15" s="103"/>
      <c r="C15" s="103"/>
      <c r="D15" s="103"/>
      <c r="E15" s="103"/>
      <c r="F15" s="556"/>
      <c r="G15" s="556"/>
      <c r="H15" s="556"/>
      <c r="I15" s="556"/>
      <c r="J15" s="556"/>
      <c r="K15" s="556"/>
      <c r="L15" s="556"/>
    </row>
    <row r="16" spans="1:12" ht="18" customHeight="1" x14ac:dyDescent="0.3">
      <c r="A16" s="50"/>
      <c r="B16" s="103"/>
      <c r="C16" s="103"/>
      <c r="D16" s="103"/>
      <c r="E16" s="103"/>
      <c r="F16" s="556"/>
      <c r="G16" s="556"/>
      <c r="H16" s="556"/>
      <c r="I16" s="556"/>
      <c r="J16" s="556"/>
      <c r="K16" s="556"/>
      <c r="L16" s="556"/>
    </row>
    <row r="17" spans="1:12" ht="18" customHeight="1" thickBot="1" x14ac:dyDescent="0.35">
      <c r="A17" s="334"/>
      <c r="B17" s="103">
        <v>-3076.78</v>
      </c>
      <c r="C17" s="103">
        <v>-550</v>
      </c>
      <c r="D17" s="103"/>
      <c r="E17" s="103"/>
      <c r="F17" s="556"/>
      <c r="G17" s="556"/>
      <c r="H17" s="556"/>
      <c r="I17" s="556"/>
      <c r="J17" s="556"/>
      <c r="K17" s="556"/>
      <c r="L17" s="556"/>
    </row>
    <row r="18" spans="1:12" ht="18" customHeight="1" thickTop="1" x14ac:dyDescent="0.3">
      <c r="A18" s="109" t="s">
        <v>129</v>
      </c>
      <c r="B18" s="108">
        <f t="shared" ref="B18:H18" si="0">SUM(B4:B17)</f>
        <v>23.2199999999998</v>
      </c>
      <c r="C18" s="108">
        <f t="shared" si="0"/>
        <v>-250</v>
      </c>
      <c r="D18" s="108">
        <f t="shared" si="0"/>
        <v>300</v>
      </c>
      <c r="E18" s="108">
        <f t="shared" si="0"/>
        <v>300</v>
      </c>
      <c r="F18" s="557">
        <f t="shared" si="0"/>
        <v>300</v>
      </c>
      <c r="G18" s="557">
        <f>SUM(G4:G17)</f>
        <v>400</v>
      </c>
      <c r="H18" s="557">
        <f t="shared" si="0"/>
        <v>400</v>
      </c>
      <c r="I18" s="557">
        <f>SUM(I4:I17)</f>
        <v>450</v>
      </c>
      <c r="J18" s="557">
        <f>SUM(J4:J17)</f>
        <v>11525</v>
      </c>
      <c r="K18" s="557">
        <f>SUM(K4:K17)</f>
        <v>3250</v>
      </c>
      <c r="L18" s="557">
        <f>SUM(L4:L17)</f>
        <v>3250</v>
      </c>
    </row>
    <row r="19" spans="1:12" ht="18" customHeight="1" x14ac:dyDescent="0.3"/>
    <row r="20" spans="1:12" ht="18" customHeight="1" x14ac:dyDescent="0.3"/>
    <row r="21" spans="1:12" ht="18" customHeight="1" x14ac:dyDescent="0.3"/>
    <row r="22" spans="1:12" ht="18" customHeight="1" x14ac:dyDescent="0.3"/>
    <row r="23" spans="1:12" ht="18" customHeight="1" x14ac:dyDescent="0.3"/>
    <row r="24" spans="1:12" ht="18" customHeight="1" x14ac:dyDescent="0.3"/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/>
  </sheetViews>
  <sheetFormatPr defaultColWidth="9.140625" defaultRowHeight="18.75" customHeight="1" x14ac:dyDescent="0.2"/>
  <cols>
    <col min="1" max="1" width="35.28515625" style="13" bestFit="1" customWidth="1"/>
    <col min="2" max="2" width="11.28515625" style="92" hidden="1" customWidth="1"/>
    <col min="3" max="3" width="11.28515625" style="13" hidden="1" customWidth="1"/>
    <col min="4" max="8" width="11.28515625" style="92" hidden="1" customWidth="1"/>
    <col min="9" max="9" width="0" style="92" hidden="1" customWidth="1"/>
    <col min="10" max="16384" width="9.140625" style="92"/>
  </cols>
  <sheetData>
    <row r="1" spans="1:12" ht="18.75" customHeight="1" x14ac:dyDescent="0.3">
      <c r="A1" s="410" t="s">
        <v>398</v>
      </c>
      <c r="B1" s="230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customHeight="1" x14ac:dyDescent="0.3">
      <c r="A2" s="140"/>
      <c r="B2" s="214"/>
      <c r="C2" s="94"/>
      <c r="D2" s="94"/>
      <c r="E2" s="50"/>
      <c r="F2" s="50"/>
      <c r="G2" s="50"/>
      <c r="H2" s="50"/>
      <c r="I2" s="50"/>
      <c r="J2" s="50"/>
      <c r="K2" s="50"/>
      <c r="L2" s="50"/>
    </row>
    <row r="3" spans="1:12" s="148" customFormat="1" ht="18.75" customHeight="1" x14ac:dyDescent="0.2">
      <c r="A3" s="147" t="s">
        <v>86</v>
      </c>
      <c r="B3" s="150">
        <v>2010</v>
      </c>
      <c r="C3" s="333">
        <v>2013</v>
      </c>
      <c r="D3" s="368">
        <v>2014</v>
      </c>
      <c r="E3" s="368">
        <v>2015</v>
      </c>
      <c r="F3" s="368">
        <v>2016</v>
      </c>
      <c r="G3" s="368">
        <v>2017</v>
      </c>
      <c r="H3" s="368">
        <v>2018</v>
      </c>
      <c r="I3" s="368">
        <v>2019</v>
      </c>
      <c r="J3" s="368">
        <v>2020</v>
      </c>
      <c r="K3" s="368">
        <v>2021</v>
      </c>
      <c r="L3" s="368">
        <v>2022</v>
      </c>
    </row>
    <row r="4" spans="1:12" s="148" customFormat="1" ht="18.75" customHeight="1" x14ac:dyDescent="0.3">
      <c r="A4" s="31" t="s">
        <v>139</v>
      </c>
      <c r="B4" s="104">
        <v>10720</v>
      </c>
      <c r="C4" s="384">
        <v>10944.47</v>
      </c>
      <c r="D4" s="401">
        <f>2759.81+(2831*3)</f>
        <v>11252.81</v>
      </c>
      <c r="E4" s="401">
        <f>(2661.13*1)+(3201.95*3)</f>
        <v>12266.98</v>
      </c>
      <c r="F4" s="464">
        <v>12800</v>
      </c>
      <c r="G4" s="464">
        <f>3250*4</f>
        <v>13000</v>
      </c>
      <c r="H4" s="464">
        <v>14240</v>
      </c>
      <c r="I4" s="464">
        <v>17000</v>
      </c>
      <c r="J4" s="464">
        <f>17000*1.05</f>
        <v>17850</v>
      </c>
      <c r="K4" s="464">
        <f>17000*1.05</f>
        <v>17850</v>
      </c>
      <c r="L4" s="464">
        <f>17850*1.05</f>
        <v>18742.5</v>
      </c>
    </row>
    <row r="5" spans="1:12" s="148" customFormat="1" ht="18.75" customHeight="1" x14ac:dyDescent="0.3">
      <c r="A5" s="31" t="s">
        <v>210</v>
      </c>
      <c r="B5" s="104">
        <v>5570</v>
      </c>
      <c r="C5" s="384">
        <v>6000</v>
      </c>
      <c r="D5" s="384">
        <f>5900*1.19</f>
        <v>7021</v>
      </c>
      <c r="E5" s="384">
        <f>5874*1.27</f>
        <v>7459.9800000000005</v>
      </c>
      <c r="F5" s="465">
        <f>5874*1.34</f>
        <v>7871.1600000000008</v>
      </c>
      <c r="G5" s="465">
        <f>5874*1.44</f>
        <v>8458.56</v>
      </c>
      <c r="H5" s="465">
        <f>5970*1.58</f>
        <v>9432.6</v>
      </c>
      <c r="I5" s="465">
        <f>5970*1.59</f>
        <v>9492.3000000000011</v>
      </c>
      <c r="J5" s="465">
        <f>(6041*1.87)</f>
        <v>11296.67</v>
      </c>
      <c r="K5" s="465">
        <f>(6041*1.9)</f>
        <v>11477.9</v>
      </c>
      <c r="L5" s="465">
        <f>(6076*1.87)</f>
        <v>11362.12</v>
      </c>
    </row>
    <row r="6" spans="1:12" ht="18.75" customHeight="1" x14ac:dyDescent="0.3">
      <c r="A6" s="31" t="s">
        <v>25</v>
      </c>
      <c r="B6" s="38">
        <v>200</v>
      </c>
      <c r="C6" s="58">
        <v>200</v>
      </c>
      <c r="D6" s="58">
        <v>200</v>
      </c>
      <c r="E6" s="58">
        <v>200</v>
      </c>
      <c r="F6" s="466">
        <v>200</v>
      </c>
      <c r="G6" s="466">
        <v>200</v>
      </c>
      <c r="H6" s="466">
        <v>200</v>
      </c>
      <c r="I6" s="466">
        <v>200</v>
      </c>
      <c r="J6" s="466">
        <v>200</v>
      </c>
      <c r="K6" s="466">
        <v>200</v>
      </c>
      <c r="L6" s="466">
        <v>200</v>
      </c>
    </row>
    <row r="7" spans="1:12" ht="18.75" customHeight="1" x14ac:dyDescent="0.3">
      <c r="A7" s="242"/>
      <c r="B7" s="38"/>
      <c r="C7" s="58"/>
      <c r="D7" s="58"/>
      <c r="E7" s="58">
        <v>915.48</v>
      </c>
      <c r="F7" s="466"/>
      <c r="G7" s="467"/>
      <c r="H7" s="467"/>
      <c r="I7" s="467"/>
      <c r="J7" s="467"/>
      <c r="K7" s="467"/>
      <c r="L7" s="467"/>
    </row>
    <row r="8" spans="1:12" ht="18.75" customHeight="1" x14ac:dyDescent="0.3">
      <c r="A8" s="423"/>
      <c r="B8" s="38">
        <v>-2890</v>
      </c>
      <c r="C8" s="58"/>
      <c r="D8" s="58"/>
      <c r="E8" s="58"/>
      <c r="F8" s="466"/>
      <c r="G8" s="467"/>
      <c r="H8" s="467"/>
      <c r="I8" s="467"/>
      <c r="J8" s="467"/>
      <c r="K8" s="467"/>
      <c r="L8" s="467"/>
    </row>
    <row r="9" spans="1:12" ht="18.75" customHeight="1" x14ac:dyDescent="0.3">
      <c r="A9" s="64"/>
      <c r="B9" s="38"/>
      <c r="C9" s="58"/>
      <c r="D9" s="58"/>
      <c r="E9" s="58"/>
      <c r="F9" s="466"/>
      <c r="G9" s="467"/>
      <c r="H9" s="467"/>
      <c r="I9" s="467"/>
      <c r="J9" s="467"/>
      <c r="K9" s="467"/>
      <c r="L9" s="467"/>
    </row>
    <row r="10" spans="1:12" ht="18.75" customHeight="1" x14ac:dyDescent="0.3">
      <c r="A10" s="64"/>
      <c r="B10" s="38"/>
      <c r="C10" s="58"/>
      <c r="D10" s="58"/>
      <c r="E10" s="58"/>
      <c r="F10" s="466"/>
      <c r="G10" s="467"/>
      <c r="H10" s="467"/>
      <c r="I10" s="467"/>
      <c r="J10" s="467"/>
      <c r="K10" s="467"/>
      <c r="L10" s="467"/>
    </row>
    <row r="11" spans="1:12" ht="18.75" customHeight="1" x14ac:dyDescent="0.3">
      <c r="A11" s="341"/>
      <c r="B11" s="118">
        <v>-62.93</v>
      </c>
      <c r="C11" s="350"/>
      <c r="D11" s="350"/>
      <c r="E11" s="350"/>
      <c r="F11" s="468"/>
      <c r="G11" s="469"/>
      <c r="H11" s="469"/>
      <c r="I11" s="469"/>
      <c r="J11" s="469"/>
      <c r="K11" s="469"/>
      <c r="L11" s="469"/>
    </row>
    <row r="12" spans="1:12" ht="18.75" customHeight="1" x14ac:dyDescent="0.3">
      <c r="A12" s="339" t="s">
        <v>88</v>
      </c>
      <c r="B12" s="340">
        <f t="shared" ref="B12:H12" si="0">SUM(B4:B11)</f>
        <v>13537.07</v>
      </c>
      <c r="C12" s="340">
        <f t="shared" si="0"/>
        <v>17144.47</v>
      </c>
      <c r="D12" s="340">
        <f t="shared" si="0"/>
        <v>18473.809999999998</v>
      </c>
      <c r="E12" s="367">
        <f t="shared" si="0"/>
        <v>20842.439999999999</v>
      </c>
      <c r="F12" s="470">
        <f t="shared" si="0"/>
        <v>20871.16</v>
      </c>
      <c r="G12" s="471">
        <f>SUM(G4:G11)</f>
        <v>21658.559999999998</v>
      </c>
      <c r="H12" s="471">
        <f t="shared" si="0"/>
        <v>23872.6</v>
      </c>
      <c r="I12" s="471">
        <f>SUM(I4:I11)</f>
        <v>26692.300000000003</v>
      </c>
      <c r="J12" s="471">
        <f>SUM(J4:J11)</f>
        <v>29346.67</v>
      </c>
      <c r="K12" s="471">
        <f>SUM(K4:K11)</f>
        <v>29527.9</v>
      </c>
      <c r="L12" s="471">
        <f>SUM(L4:L11)</f>
        <v>30304.620000000003</v>
      </c>
    </row>
    <row r="13" spans="1:12" ht="16.5" customHeight="1" x14ac:dyDescent="0.3">
      <c r="A13" s="93"/>
      <c r="B13" s="24"/>
      <c r="C13" s="93"/>
      <c r="D13" s="24"/>
      <c r="E13" s="24"/>
      <c r="F13" s="24"/>
      <c r="G13" s="24"/>
      <c r="H13" s="24"/>
    </row>
    <row r="14" spans="1:12" ht="16.5" customHeight="1" x14ac:dyDescent="0.3">
      <c r="A14" s="16"/>
      <c r="B14" s="24"/>
      <c r="C14" s="93"/>
      <c r="D14" s="24"/>
      <c r="E14" s="24"/>
      <c r="F14" s="24"/>
    </row>
    <row r="15" spans="1:12" ht="16.5" customHeight="1" x14ac:dyDescent="0.3">
      <c r="A15" s="194"/>
      <c r="B15" s="132"/>
      <c r="C15" s="130"/>
      <c r="D15" s="132"/>
      <c r="E15" s="132"/>
      <c r="F15" s="132"/>
      <c r="G15" s="378"/>
      <c r="H15" s="378"/>
    </row>
    <row r="16" spans="1:12" ht="16.5" customHeight="1" x14ac:dyDescent="0.3">
      <c r="A16" s="194"/>
      <c r="B16" s="132"/>
      <c r="C16" s="130"/>
      <c r="D16" s="132"/>
      <c r="E16" s="132"/>
      <c r="F16" s="132"/>
      <c r="G16" s="378"/>
      <c r="H16" s="378"/>
    </row>
    <row r="17" spans="1:8" ht="16.5" customHeight="1" x14ac:dyDescent="0.3">
      <c r="A17" s="194"/>
      <c r="B17" s="132"/>
      <c r="C17" s="130"/>
      <c r="D17" s="132"/>
      <c r="E17" s="132"/>
      <c r="F17" s="132"/>
      <c r="G17" s="378"/>
      <c r="H17" s="378"/>
    </row>
    <row r="18" spans="1:8" ht="16.5" customHeight="1" x14ac:dyDescent="0.3">
      <c r="A18" s="194"/>
      <c r="B18" s="132"/>
      <c r="C18" s="130"/>
      <c r="D18" s="132"/>
      <c r="E18" s="132"/>
      <c r="F18" s="132"/>
      <c r="G18" s="378"/>
      <c r="H18" s="378"/>
    </row>
    <row r="19" spans="1:8" ht="16.5" customHeight="1" x14ac:dyDescent="0.3">
      <c r="A19" s="194"/>
      <c r="B19" s="132"/>
      <c r="C19" s="130"/>
      <c r="D19" s="132"/>
      <c r="E19" s="132"/>
      <c r="F19" s="132"/>
      <c r="G19" s="378"/>
      <c r="H19" s="378"/>
    </row>
    <row r="20" spans="1:8" ht="16.5" customHeight="1" x14ac:dyDescent="0.3">
      <c r="A20" s="194"/>
      <c r="B20" s="132"/>
      <c r="C20" s="130"/>
      <c r="D20" s="132"/>
      <c r="E20" s="132"/>
      <c r="F20" s="132"/>
      <c r="G20" s="378"/>
      <c r="H20" s="378"/>
    </row>
    <row r="21" spans="1:8" ht="16.5" customHeight="1" x14ac:dyDescent="0.3">
      <c r="A21" s="16"/>
      <c r="B21" s="24"/>
      <c r="C21" s="93"/>
      <c r="D21" s="24"/>
      <c r="E21" s="24"/>
      <c r="F21" s="24"/>
    </row>
    <row r="22" spans="1:8" ht="16.5" customHeight="1" x14ac:dyDescent="0.3">
      <c r="A22" s="16"/>
      <c r="B22" s="24"/>
      <c r="C22" s="93"/>
      <c r="D22" s="24"/>
      <c r="E22" s="24"/>
      <c r="F22" s="24"/>
    </row>
    <row r="23" spans="1:8" ht="16.5" customHeight="1" x14ac:dyDescent="0.3">
      <c r="A23" s="16"/>
      <c r="B23" s="24"/>
      <c r="C23" s="93"/>
      <c r="D23" s="24"/>
      <c r="E23" s="24"/>
      <c r="F23" s="24"/>
    </row>
    <row r="24" spans="1:8" ht="16.5" customHeight="1" x14ac:dyDescent="0.2">
      <c r="A24" s="377"/>
      <c r="B24" s="378"/>
      <c r="C24" s="379"/>
    </row>
    <row r="25" spans="1:8" ht="16.5" customHeight="1" x14ac:dyDescent="0.2">
      <c r="A25" s="377"/>
      <c r="B25" s="378"/>
      <c r="C25" s="379"/>
    </row>
    <row r="26" spans="1:8" ht="16.5" customHeight="1" x14ac:dyDescent="0.2">
      <c r="A26" s="159"/>
    </row>
    <row r="27" spans="1:8" ht="16.5" customHeight="1" x14ac:dyDescent="0.2">
      <c r="A27" s="159"/>
    </row>
    <row r="28" spans="1:8" ht="16.5" customHeight="1" x14ac:dyDescent="0.3">
      <c r="A28" s="16"/>
      <c r="B28" s="24"/>
      <c r="C28" s="93"/>
      <c r="D28" s="24"/>
      <c r="E28" s="24"/>
      <c r="F28" s="24"/>
    </row>
    <row r="29" spans="1:8" ht="16.5" customHeight="1" x14ac:dyDescent="0.3">
      <c r="A29" s="16"/>
      <c r="B29" s="24"/>
      <c r="C29" s="93"/>
      <c r="D29" s="24"/>
      <c r="E29" s="24"/>
      <c r="F29" s="24"/>
    </row>
    <row r="30" spans="1:8" ht="18.75" customHeight="1" x14ac:dyDescent="0.3">
      <c r="A30" s="144"/>
      <c r="B30" s="107"/>
      <c r="C30" s="231"/>
      <c r="D30" s="24"/>
      <c r="E30" s="24"/>
      <c r="F30" s="24"/>
    </row>
    <row r="31" spans="1:8" ht="18.75" customHeight="1" x14ac:dyDescent="0.3">
      <c r="A31" s="144"/>
      <c r="B31" s="24"/>
      <c r="C31" s="93"/>
      <c r="D31" s="24"/>
      <c r="E31" s="24"/>
      <c r="F31" s="24"/>
    </row>
    <row r="32" spans="1:8" ht="18.75" customHeight="1" x14ac:dyDescent="0.3">
      <c r="A32" s="144"/>
      <c r="B32" s="24"/>
      <c r="C32" s="93"/>
      <c r="D32" s="24"/>
      <c r="E32" s="24"/>
      <c r="F32" s="24"/>
    </row>
    <row r="33" spans="1:6" ht="18.75" customHeight="1" x14ac:dyDescent="0.3">
      <c r="A33" s="144"/>
      <c r="B33" s="24"/>
      <c r="C33" s="93"/>
      <c r="D33" s="24"/>
      <c r="E33" s="24"/>
      <c r="F33" s="24"/>
    </row>
    <row r="34" spans="1:6" ht="18.75" customHeight="1" x14ac:dyDescent="0.2">
      <c r="A34" s="146"/>
    </row>
    <row r="35" spans="1:6" ht="18.75" customHeight="1" x14ac:dyDescent="0.2">
      <c r="A35" s="92"/>
      <c r="C35" s="92"/>
    </row>
    <row r="36" spans="1:6" ht="18.75" customHeight="1" x14ac:dyDescent="0.2">
      <c r="A36" s="92"/>
      <c r="C36" s="92"/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50.7109375" style="93" customWidth="1"/>
    <col min="2" max="2" width="10.7109375" style="25" hidden="1" customWidth="1"/>
    <col min="3" max="8" width="10.7109375" style="24" hidden="1" customWidth="1"/>
    <col min="9" max="9" width="9.5703125" style="24" hidden="1" customWidth="1"/>
    <col min="10" max="12" width="9.5703125" style="24" bestFit="1" customWidth="1"/>
    <col min="13" max="16384" width="9.140625" style="24"/>
  </cols>
  <sheetData>
    <row r="1" spans="1:12" s="42" customFormat="1" ht="18.75" customHeight="1" x14ac:dyDescent="0.3">
      <c r="A1" s="175" t="s">
        <v>159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18.75" customHeight="1" x14ac:dyDescent="0.3">
      <c r="A2" s="9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42" customFormat="1" ht="18.75" customHeight="1" x14ac:dyDescent="0.3">
      <c r="A3" s="37" t="s">
        <v>86</v>
      </c>
      <c r="B3" s="95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s="119" customFormat="1" ht="18.75" customHeight="1" x14ac:dyDescent="0.3">
      <c r="A4" s="97"/>
      <c r="B4" s="180"/>
      <c r="C4" s="180"/>
      <c r="D4" s="180"/>
      <c r="E4" s="180"/>
      <c r="F4" s="548"/>
      <c r="G4" s="548"/>
      <c r="H4" s="548"/>
      <c r="I4" s="548"/>
      <c r="J4" s="548"/>
      <c r="K4" s="548"/>
      <c r="L4" s="548"/>
    </row>
    <row r="5" spans="1:12" s="119" customFormat="1" ht="18.75" customHeight="1" x14ac:dyDescent="0.3">
      <c r="A5" s="59" t="s">
        <v>91</v>
      </c>
      <c r="B5" s="45">
        <v>2000</v>
      </c>
      <c r="C5" s="45">
        <v>5000</v>
      </c>
      <c r="D5" s="45">
        <v>6000</v>
      </c>
      <c r="E5" s="45">
        <v>6000</v>
      </c>
      <c r="F5" s="529">
        <v>6000</v>
      </c>
      <c r="G5" s="529">
        <v>7000</v>
      </c>
      <c r="H5" s="529">
        <v>7000</v>
      </c>
      <c r="I5" s="529">
        <v>6000</v>
      </c>
      <c r="J5" s="529">
        <v>6000</v>
      </c>
      <c r="K5" s="529">
        <v>5000</v>
      </c>
      <c r="L5" s="529">
        <v>5000</v>
      </c>
    </row>
    <row r="6" spans="1:12" s="119" customFormat="1" ht="18.75" customHeight="1" x14ac:dyDescent="0.3">
      <c r="A6" s="59" t="s">
        <v>433</v>
      </c>
      <c r="B6" s="45">
        <v>4000</v>
      </c>
      <c r="C6" s="45">
        <v>4600</v>
      </c>
      <c r="D6" s="402">
        <f>(199*2*2)+(646*2*3)</f>
        <v>4672</v>
      </c>
      <c r="E6" s="402">
        <f>(199*2*2)+(646*2*3)+2000</f>
        <v>6672</v>
      </c>
      <c r="F6" s="522">
        <v>7000</v>
      </c>
      <c r="G6" s="522">
        <v>7000</v>
      </c>
      <c r="H6" s="522">
        <v>7000</v>
      </c>
      <c r="I6" s="522">
        <v>7200</v>
      </c>
      <c r="J6" s="522">
        <v>7200</v>
      </c>
      <c r="K6" s="522">
        <v>7200</v>
      </c>
      <c r="L6" s="522">
        <v>7200</v>
      </c>
    </row>
    <row r="7" spans="1:12" s="119" customFormat="1" ht="18.75" customHeight="1" x14ac:dyDescent="0.3">
      <c r="A7" s="59" t="s">
        <v>92</v>
      </c>
      <c r="B7" s="45">
        <v>800</v>
      </c>
      <c r="C7" s="45">
        <v>850</v>
      </c>
      <c r="D7" s="402">
        <f>(95*4*2)+80</f>
        <v>840</v>
      </c>
      <c r="E7" s="402">
        <f>(175*4)+100</f>
        <v>800</v>
      </c>
      <c r="F7" s="522">
        <f t="shared" ref="F7:K7" si="0">(95*4)+(80*4)+200</f>
        <v>900</v>
      </c>
      <c r="G7" s="522">
        <f t="shared" si="0"/>
        <v>900</v>
      </c>
      <c r="H7" s="522">
        <f t="shared" si="0"/>
        <v>900</v>
      </c>
      <c r="I7" s="522">
        <f t="shared" si="0"/>
        <v>900</v>
      </c>
      <c r="J7" s="522">
        <f t="shared" si="0"/>
        <v>900</v>
      </c>
      <c r="K7" s="522">
        <f t="shared" si="0"/>
        <v>900</v>
      </c>
      <c r="L7" s="522">
        <f>(95*4)+(80*4)</f>
        <v>700</v>
      </c>
    </row>
    <row r="8" spans="1:12" s="119" customFormat="1" ht="18.75" hidden="1" customHeight="1" x14ac:dyDescent="0.3">
      <c r="A8" s="191" t="s">
        <v>179</v>
      </c>
      <c r="B8" s="596">
        <v>8000</v>
      </c>
      <c r="C8" s="596">
        <v>8100</v>
      </c>
      <c r="D8" s="596">
        <f>(660*12)</f>
        <v>7920</v>
      </c>
      <c r="E8" s="596">
        <v>0</v>
      </c>
      <c r="F8" s="584"/>
      <c r="G8" s="584"/>
      <c r="H8" s="584"/>
      <c r="I8" s="584"/>
      <c r="J8" s="584"/>
      <c r="K8" s="584"/>
      <c r="L8" s="584"/>
    </row>
    <row r="9" spans="1:12" s="119" customFormat="1" ht="18.75" customHeight="1" x14ac:dyDescent="0.3">
      <c r="A9" s="59" t="s">
        <v>24</v>
      </c>
      <c r="B9" s="45">
        <v>50</v>
      </c>
      <c r="C9" s="45">
        <v>100</v>
      </c>
      <c r="D9" s="45">
        <v>250</v>
      </c>
      <c r="E9" s="45">
        <v>500</v>
      </c>
      <c r="F9" s="529">
        <v>500</v>
      </c>
      <c r="G9" s="529">
        <v>500</v>
      </c>
      <c r="H9" s="529">
        <v>500</v>
      </c>
      <c r="I9" s="529">
        <v>500</v>
      </c>
      <c r="J9" s="529">
        <v>500</v>
      </c>
      <c r="K9" s="529">
        <v>500</v>
      </c>
      <c r="L9" s="529">
        <v>300</v>
      </c>
    </row>
    <row r="10" spans="1:12" s="119" customFormat="1" ht="18.75" customHeight="1" x14ac:dyDescent="0.3">
      <c r="A10" s="59" t="s">
        <v>434</v>
      </c>
      <c r="B10" s="45">
        <v>750</v>
      </c>
      <c r="C10" s="45">
        <v>500</v>
      </c>
      <c r="D10" s="45">
        <v>6000</v>
      </c>
      <c r="E10" s="45">
        <v>1200</v>
      </c>
      <c r="F10" s="529">
        <v>1200</v>
      </c>
      <c r="G10" s="529">
        <v>600</v>
      </c>
      <c r="H10" s="529">
        <v>600</v>
      </c>
      <c r="I10" s="529">
        <v>900</v>
      </c>
      <c r="J10" s="529">
        <v>800</v>
      </c>
      <c r="K10" s="529">
        <v>800</v>
      </c>
      <c r="L10" s="529">
        <v>500</v>
      </c>
    </row>
    <row r="11" spans="1:12" s="119" customFormat="1" ht="18.75" customHeight="1" x14ac:dyDescent="0.3">
      <c r="A11" s="59" t="s">
        <v>93</v>
      </c>
      <c r="B11" s="45">
        <v>3000</v>
      </c>
      <c r="C11" s="45">
        <v>9000</v>
      </c>
      <c r="D11" s="45">
        <v>10000</v>
      </c>
      <c r="E11" s="45">
        <v>10000</v>
      </c>
      <c r="F11" s="529">
        <v>10000</v>
      </c>
      <c r="G11" s="529">
        <v>17000</v>
      </c>
      <c r="H11" s="529">
        <v>18000</v>
      </c>
      <c r="I11" s="529">
        <v>18000</v>
      </c>
      <c r="J11" s="529">
        <v>18000</v>
      </c>
      <c r="K11" s="529">
        <v>18000</v>
      </c>
      <c r="L11" s="529">
        <v>16000</v>
      </c>
    </row>
    <row r="12" spans="1:12" s="119" customFormat="1" ht="18.75" customHeight="1" x14ac:dyDescent="0.3">
      <c r="A12" s="59" t="s">
        <v>90</v>
      </c>
      <c r="B12" s="45">
        <v>3000</v>
      </c>
      <c r="C12" s="45">
        <v>8000</v>
      </c>
      <c r="D12" s="45">
        <v>8000</v>
      </c>
      <c r="E12" s="45">
        <v>8000</v>
      </c>
      <c r="F12" s="529">
        <v>8000</v>
      </c>
      <c r="G12" s="529">
        <v>8000</v>
      </c>
      <c r="H12" s="529">
        <v>8000</v>
      </c>
      <c r="I12" s="529">
        <v>8500</v>
      </c>
      <c r="J12" s="529">
        <v>8000</v>
      </c>
      <c r="K12" s="529">
        <v>8000</v>
      </c>
      <c r="L12" s="529">
        <v>6000</v>
      </c>
    </row>
    <row r="13" spans="1:12" s="119" customFormat="1" ht="18.75" hidden="1" customHeight="1" x14ac:dyDescent="0.3">
      <c r="A13" s="191" t="s">
        <v>215</v>
      </c>
      <c r="B13" s="598">
        <v>1200</v>
      </c>
      <c r="C13" s="598">
        <v>1800</v>
      </c>
      <c r="D13" s="598">
        <f>150*12</f>
        <v>1800</v>
      </c>
      <c r="E13" s="598">
        <v>0</v>
      </c>
      <c r="F13" s="599"/>
      <c r="G13" s="599"/>
      <c r="H13" s="599"/>
      <c r="I13" s="599"/>
      <c r="J13" s="599"/>
      <c r="K13" s="599"/>
      <c r="L13" s="599"/>
    </row>
    <row r="14" spans="1:12" ht="18" customHeight="1" x14ac:dyDescent="0.3">
      <c r="A14" s="192" t="s">
        <v>366</v>
      </c>
      <c r="B14" s="402">
        <v>800</v>
      </c>
      <c r="C14" s="402">
        <v>720</v>
      </c>
      <c r="D14" s="402">
        <f>(30*2*12)</f>
        <v>720</v>
      </c>
      <c r="E14" s="402">
        <f>(25*2*12)</f>
        <v>600</v>
      </c>
      <c r="F14" s="522">
        <v>600</v>
      </c>
      <c r="G14" s="522">
        <v>600</v>
      </c>
      <c r="H14" s="522">
        <f>64*12*2</f>
        <v>1536</v>
      </c>
      <c r="I14" s="522">
        <f>65*12*2</f>
        <v>1560</v>
      </c>
      <c r="J14" s="522">
        <f>70*12*2</f>
        <v>1680</v>
      </c>
      <c r="K14" s="522">
        <f>70*12*2</f>
        <v>1680</v>
      </c>
      <c r="L14" s="522">
        <f>70*12*2</f>
        <v>1680</v>
      </c>
    </row>
    <row r="15" spans="1:12" ht="18.75" customHeight="1" x14ac:dyDescent="0.3">
      <c r="A15" s="191" t="s">
        <v>550</v>
      </c>
      <c r="B15" s="596">
        <v>625</v>
      </c>
      <c r="C15" s="596">
        <v>625</v>
      </c>
      <c r="D15" s="596">
        <v>650</v>
      </c>
      <c r="E15" s="596">
        <v>625</v>
      </c>
      <c r="F15" s="584">
        <v>700</v>
      </c>
      <c r="G15" s="584">
        <v>700</v>
      </c>
      <c r="H15" s="584">
        <v>700</v>
      </c>
      <c r="I15" s="584">
        <v>700</v>
      </c>
      <c r="J15" s="584">
        <v>750</v>
      </c>
      <c r="K15" s="584">
        <v>700</v>
      </c>
      <c r="L15" s="584">
        <v>700</v>
      </c>
    </row>
    <row r="16" spans="1:12" ht="18.75" customHeight="1" x14ac:dyDescent="0.3">
      <c r="A16" s="207" t="s">
        <v>413</v>
      </c>
      <c r="B16" s="450"/>
      <c r="C16" s="450">
        <v>2000</v>
      </c>
      <c r="D16" s="450">
        <v>2000</v>
      </c>
      <c r="E16" s="450">
        <v>6000</v>
      </c>
      <c r="F16" s="525">
        <v>1200</v>
      </c>
      <c r="G16" s="525">
        <v>1200</v>
      </c>
      <c r="H16" s="525">
        <v>1200</v>
      </c>
      <c r="I16" s="525">
        <v>1400</v>
      </c>
      <c r="J16" s="525">
        <v>1500</v>
      </c>
      <c r="K16" s="525">
        <v>1500</v>
      </c>
      <c r="L16" s="525">
        <v>1000</v>
      </c>
    </row>
    <row r="17" spans="1:12" ht="18.75" customHeight="1" x14ac:dyDescent="0.3">
      <c r="A17" s="207" t="s">
        <v>320</v>
      </c>
      <c r="B17" s="450"/>
      <c r="C17" s="450">
        <v>1200</v>
      </c>
      <c r="D17" s="450">
        <v>1500</v>
      </c>
      <c r="E17" s="450">
        <v>1500</v>
      </c>
      <c r="F17" s="525">
        <v>1500</v>
      </c>
      <c r="G17" s="525">
        <v>1500</v>
      </c>
      <c r="H17" s="525">
        <v>1500</v>
      </c>
      <c r="I17" s="525">
        <v>1500</v>
      </c>
      <c r="J17" s="525">
        <v>1500</v>
      </c>
      <c r="K17" s="525">
        <v>1500</v>
      </c>
      <c r="L17" s="525">
        <v>1200</v>
      </c>
    </row>
    <row r="18" spans="1:12" ht="18.75" hidden="1" customHeight="1" x14ac:dyDescent="0.3">
      <c r="A18" s="207" t="s">
        <v>321</v>
      </c>
      <c r="B18" s="450"/>
      <c r="C18" s="450">
        <v>0</v>
      </c>
      <c r="D18" s="450">
        <v>0</v>
      </c>
      <c r="E18" s="450">
        <v>0</v>
      </c>
      <c r="F18" s="525"/>
      <c r="G18" s="525"/>
      <c r="H18" s="525"/>
      <c r="I18" s="525"/>
      <c r="J18" s="525"/>
      <c r="K18" s="525"/>
      <c r="L18" s="525"/>
    </row>
    <row r="19" spans="1:12" ht="18.75" hidden="1" customHeight="1" x14ac:dyDescent="0.3">
      <c r="A19" s="207" t="s">
        <v>322</v>
      </c>
      <c r="B19" s="450"/>
      <c r="C19" s="450">
        <v>0</v>
      </c>
      <c r="D19" s="450">
        <v>0</v>
      </c>
      <c r="E19" s="450">
        <v>0</v>
      </c>
      <c r="F19" s="525"/>
      <c r="G19" s="525"/>
      <c r="H19" s="525"/>
      <c r="I19" s="525"/>
      <c r="J19" s="525"/>
      <c r="K19" s="525"/>
      <c r="L19" s="525"/>
    </row>
    <row r="20" spans="1:12" ht="18.75" hidden="1" customHeight="1" x14ac:dyDescent="0.3">
      <c r="A20" s="207" t="s">
        <v>437</v>
      </c>
      <c r="B20" s="600"/>
      <c r="C20" s="596">
        <v>0</v>
      </c>
      <c r="D20" s="596">
        <f>300*18</f>
        <v>5400</v>
      </c>
      <c r="E20" s="596">
        <f>1200*8</f>
        <v>9600</v>
      </c>
      <c r="F20" s="584"/>
      <c r="G20" s="584"/>
      <c r="H20" s="584"/>
      <c r="I20" s="584"/>
      <c r="J20" s="584"/>
      <c r="K20" s="584"/>
      <c r="L20" s="584"/>
    </row>
    <row r="21" spans="1:12" ht="18.75" hidden="1" customHeight="1" x14ac:dyDescent="0.3">
      <c r="A21" s="207" t="s">
        <v>435</v>
      </c>
      <c r="B21" s="600"/>
      <c r="C21" s="596">
        <v>0</v>
      </c>
      <c r="D21" s="596">
        <v>0</v>
      </c>
      <c r="E21" s="596">
        <f>550+500</f>
        <v>1050</v>
      </c>
      <c r="F21" s="584">
        <v>1100</v>
      </c>
      <c r="G21" s="584">
        <v>0</v>
      </c>
      <c r="H21" s="584">
        <v>0</v>
      </c>
      <c r="I21" s="584">
        <v>0</v>
      </c>
      <c r="J21" s="584">
        <v>0</v>
      </c>
      <c r="K21" s="584">
        <v>0</v>
      </c>
      <c r="L21" s="584">
        <v>0</v>
      </c>
    </row>
    <row r="22" spans="1:12" ht="18.75" hidden="1" customHeight="1" x14ac:dyDescent="0.3">
      <c r="A22" s="207" t="s">
        <v>377</v>
      </c>
      <c r="B22" s="600"/>
      <c r="C22" s="596">
        <v>0</v>
      </c>
      <c r="D22" s="596">
        <v>0</v>
      </c>
      <c r="E22" s="596">
        <f>500+564</f>
        <v>1064</v>
      </c>
      <c r="F22" s="584">
        <v>1100</v>
      </c>
      <c r="G22" s="584">
        <v>0</v>
      </c>
      <c r="H22" s="584">
        <v>0</v>
      </c>
      <c r="I22" s="584">
        <v>0</v>
      </c>
      <c r="J22" s="584">
        <v>0</v>
      </c>
      <c r="K22" s="584">
        <v>0</v>
      </c>
      <c r="L22" s="584">
        <v>0</v>
      </c>
    </row>
    <row r="23" spans="1:12" ht="18.75" customHeight="1" x14ac:dyDescent="0.3">
      <c r="A23" s="207" t="s">
        <v>412</v>
      </c>
      <c r="B23" s="600"/>
      <c r="C23" s="596"/>
      <c r="D23" s="596"/>
      <c r="E23" s="596">
        <v>12000</v>
      </c>
      <c r="F23" s="584">
        <v>16000</v>
      </c>
      <c r="G23" s="584">
        <v>16000</v>
      </c>
      <c r="H23" s="584">
        <v>16000</v>
      </c>
      <c r="I23" s="584">
        <v>6000</v>
      </c>
      <c r="J23" s="584">
        <v>6000</v>
      </c>
      <c r="K23" s="584"/>
      <c r="L23" s="584">
        <v>0</v>
      </c>
    </row>
    <row r="24" spans="1:12" ht="18.75" customHeight="1" x14ac:dyDescent="0.3">
      <c r="A24" s="207" t="s">
        <v>436</v>
      </c>
      <c r="B24" s="600"/>
      <c r="C24" s="596"/>
      <c r="D24" s="596"/>
      <c r="E24" s="596">
        <f>300*4</f>
        <v>1200</v>
      </c>
      <c r="F24" s="584">
        <v>1200</v>
      </c>
      <c r="G24" s="584">
        <v>1200</v>
      </c>
      <c r="H24" s="584">
        <v>1200</v>
      </c>
      <c r="I24" s="584">
        <v>1400</v>
      </c>
      <c r="J24" s="584">
        <v>1500</v>
      </c>
      <c r="K24" s="584">
        <v>1600</v>
      </c>
      <c r="L24" s="584">
        <v>1200</v>
      </c>
    </row>
    <row r="25" spans="1:12" ht="18.75" hidden="1" customHeight="1" x14ac:dyDescent="0.3">
      <c r="A25" s="207" t="s">
        <v>448</v>
      </c>
      <c r="B25" s="601"/>
      <c r="C25" s="450"/>
      <c r="D25" s="450"/>
      <c r="E25" s="450"/>
      <c r="F25" s="525">
        <v>20000</v>
      </c>
      <c r="G25" s="525">
        <v>0</v>
      </c>
      <c r="H25" s="525">
        <v>0</v>
      </c>
      <c r="I25" s="525">
        <v>0</v>
      </c>
      <c r="J25" s="525">
        <v>0</v>
      </c>
      <c r="K25" s="525">
        <v>0</v>
      </c>
      <c r="L25" s="525">
        <v>0</v>
      </c>
    </row>
    <row r="26" spans="1:12" ht="18.75" hidden="1" customHeight="1" x14ac:dyDescent="0.3">
      <c r="A26" s="207" t="s">
        <v>453</v>
      </c>
      <c r="B26" s="601"/>
      <c r="C26" s="450"/>
      <c r="D26" s="450"/>
      <c r="E26" s="450"/>
      <c r="F26" s="525">
        <v>1800</v>
      </c>
      <c r="G26" s="525">
        <v>0</v>
      </c>
      <c r="H26" s="525">
        <v>0</v>
      </c>
      <c r="I26" s="525">
        <v>0</v>
      </c>
      <c r="J26" s="525">
        <v>0</v>
      </c>
      <c r="K26" s="525">
        <v>0</v>
      </c>
      <c r="L26" s="525">
        <v>0</v>
      </c>
    </row>
    <row r="27" spans="1:12" ht="18.75" customHeight="1" x14ac:dyDescent="0.3">
      <c r="A27" s="207" t="s">
        <v>647</v>
      </c>
      <c r="B27" s="601"/>
      <c r="C27" s="450"/>
      <c r="D27" s="450"/>
      <c r="E27" s="450"/>
      <c r="F27" s="525">
        <v>3600</v>
      </c>
      <c r="G27" s="525">
        <v>30000</v>
      </c>
      <c r="H27" s="525">
        <v>35000</v>
      </c>
      <c r="I27" s="525">
        <v>0</v>
      </c>
      <c r="J27" s="525"/>
      <c r="K27" s="525">
        <v>25000</v>
      </c>
      <c r="L27" s="525">
        <v>0</v>
      </c>
    </row>
    <row r="28" spans="1:12" ht="18.75" customHeight="1" x14ac:dyDescent="0.3">
      <c r="A28" s="207" t="s">
        <v>594</v>
      </c>
      <c r="B28" s="601"/>
      <c r="C28" s="450"/>
      <c r="D28" s="450"/>
      <c r="E28" s="450"/>
      <c r="F28" s="525">
        <v>5000</v>
      </c>
      <c r="G28" s="525">
        <v>5000</v>
      </c>
      <c r="H28" s="525">
        <v>5000</v>
      </c>
      <c r="I28" s="525">
        <v>5000</v>
      </c>
      <c r="J28" s="525">
        <v>2000</v>
      </c>
      <c r="K28" s="525">
        <v>2000</v>
      </c>
      <c r="L28" s="525">
        <v>1000</v>
      </c>
    </row>
    <row r="29" spans="1:12" ht="18.75" hidden="1" customHeight="1" x14ac:dyDescent="0.3">
      <c r="A29" s="207" t="s">
        <v>531</v>
      </c>
      <c r="B29" s="601"/>
      <c r="C29" s="450"/>
      <c r="D29" s="450"/>
      <c r="E29" s="450"/>
      <c r="F29" s="525">
        <v>0</v>
      </c>
      <c r="G29" s="525">
        <v>5000</v>
      </c>
      <c r="H29" s="525">
        <v>0</v>
      </c>
      <c r="I29" s="525">
        <v>10000</v>
      </c>
      <c r="J29" s="525">
        <v>0</v>
      </c>
      <c r="K29" s="525">
        <v>0</v>
      </c>
      <c r="L29" s="525">
        <v>0</v>
      </c>
    </row>
    <row r="30" spans="1:12" ht="18.75" customHeight="1" x14ac:dyDescent="0.3">
      <c r="A30" s="207" t="s">
        <v>645</v>
      </c>
      <c r="B30" s="601"/>
      <c r="C30" s="450"/>
      <c r="D30" s="450"/>
      <c r="E30" s="450"/>
      <c r="F30" s="525">
        <v>0</v>
      </c>
      <c r="G30" s="525">
        <v>0</v>
      </c>
      <c r="H30" s="525">
        <v>12000</v>
      </c>
      <c r="I30" s="525">
        <v>14000</v>
      </c>
      <c r="J30" s="525">
        <v>18000</v>
      </c>
      <c r="K30" s="525">
        <v>18000</v>
      </c>
      <c r="L30" s="525">
        <v>18000</v>
      </c>
    </row>
    <row r="31" spans="1:12" ht="18.75" customHeight="1" x14ac:dyDescent="0.3">
      <c r="A31" s="207" t="s">
        <v>514</v>
      </c>
      <c r="B31" s="601"/>
      <c r="C31" s="450"/>
      <c r="D31" s="450"/>
      <c r="E31" s="450"/>
      <c r="F31" s="525">
        <v>0</v>
      </c>
      <c r="G31" s="525">
        <v>0</v>
      </c>
      <c r="H31" s="525">
        <v>4000</v>
      </c>
      <c r="I31" s="525">
        <v>3000</v>
      </c>
      <c r="J31" s="525">
        <v>3500</v>
      </c>
      <c r="K31" s="525">
        <v>3500</v>
      </c>
      <c r="L31" s="525">
        <v>3000</v>
      </c>
    </row>
    <row r="32" spans="1:12" ht="18.75" hidden="1" customHeight="1" x14ac:dyDescent="0.3">
      <c r="A32" s="207" t="s">
        <v>519</v>
      </c>
      <c r="B32" s="601"/>
      <c r="C32" s="450"/>
      <c r="D32" s="450"/>
      <c r="E32" s="450"/>
      <c r="F32" s="525"/>
      <c r="G32" s="525"/>
      <c r="H32" s="525">
        <v>9000</v>
      </c>
      <c r="I32" s="525">
        <v>0</v>
      </c>
      <c r="J32" s="525">
        <v>0</v>
      </c>
      <c r="K32" s="525">
        <v>0</v>
      </c>
      <c r="L32" s="525">
        <v>0</v>
      </c>
    </row>
    <row r="33" spans="1:12" ht="18.75" hidden="1" customHeight="1" x14ac:dyDescent="0.3">
      <c r="A33" s="207" t="s">
        <v>545</v>
      </c>
      <c r="B33" s="601"/>
      <c r="C33" s="450"/>
      <c r="D33" s="450"/>
      <c r="E33" s="450"/>
      <c r="F33" s="525"/>
      <c r="G33" s="525"/>
      <c r="H33" s="525"/>
      <c r="I33" s="525">
        <v>1200</v>
      </c>
      <c r="J33" s="525">
        <v>0</v>
      </c>
      <c r="K33" s="525">
        <v>0</v>
      </c>
      <c r="L33" s="525">
        <v>0</v>
      </c>
    </row>
    <row r="34" spans="1:12" ht="18.75" hidden="1" customHeight="1" x14ac:dyDescent="0.3">
      <c r="A34" s="207" t="s">
        <v>546</v>
      </c>
      <c r="B34" s="601"/>
      <c r="C34" s="450"/>
      <c r="D34" s="450"/>
      <c r="E34" s="450"/>
      <c r="F34" s="525"/>
      <c r="G34" s="525"/>
      <c r="H34" s="525"/>
      <c r="I34" s="525">
        <v>4500</v>
      </c>
      <c r="J34" s="525">
        <v>0</v>
      </c>
      <c r="K34" s="525">
        <v>0</v>
      </c>
      <c r="L34" s="525">
        <v>0</v>
      </c>
    </row>
    <row r="35" spans="1:12" ht="18.75" hidden="1" customHeight="1" x14ac:dyDescent="0.3">
      <c r="A35" s="207" t="s">
        <v>547</v>
      </c>
      <c r="B35" s="601"/>
      <c r="C35" s="450"/>
      <c r="D35" s="450"/>
      <c r="E35" s="450"/>
      <c r="F35" s="525"/>
      <c r="G35" s="525"/>
      <c r="H35" s="525"/>
      <c r="I35" s="525">
        <f>15300+5000</f>
        <v>20300</v>
      </c>
      <c r="J35" s="525">
        <v>0</v>
      </c>
      <c r="K35" s="525">
        <v>0</v>
      </c>
      <c r="L35" s="525">
        <v>0</v>
      </c>
    </row>
    <row r="36" spans="1:12" ht="18.75" hidden="1" customHeight="1" x14ac:dyDescent="0.3">
      <c r="A36" s="207" t="s">
        <v>623</v>
      </c>
      <c r="B36" s="601"/>
      <c r="C36" s="450"/>
      <c r="D36" s="450"/>
      <c r="E36" s="450"/>
      <c r="F36" s="525"/>
      <c r="G36" s="525"/>
      <c r="H36" s="525"/>
      <c r="I36" s="525">
        <v>7000</v>
      </c>
      <c r="J36" s="525">
        <v>0</v>
      </c>
      <c r="K36" s="525">
        <v>0</v>
      </c>
      <c r="L36" s="525">
        <v>0</v>
      </c>
    </row>
    <row r="37" spans="1:12" ht="18.75" customHeight="1" x14ac:dyDescent="0.3">
      <c r="A37" s="207" t="s">
        <v>646</v>
      </c>
      <c r="B37" s="601"/>
      <c r="C37" s="450"/>
      <c r="D37" s="450"/>
      <c r="E37" s="450"/>
      <c r="F37" s="525"/>
      <c r="G37" s="525"/>
      <c r="H37" s="525"/>
      <c r="I37" s="525">
        <v>0</v>
      </c>
      <c r="J37" s="525"/>
      <c r="K37" s="525">
        <v>28000</v>
      </c>
      <c r="L37" s="525">
        <v>0</v>
      </c>
    </row>
    <row r="38" spans="1:12" ht="18.75" customHeight="1" x14ac:dyDescent="0.3">
      <c r="A38" s="207" t="s">
        <v>662</v>
      </c>
      <c r="B38" s="601"/>
      <c r="C38" s="450"/>
      <c r="D38" s="450"/>
      <c r="E38" s="450"/>
      <c r="F38" s="525"/>
      <c r="G38" s="525"/>
      <c r="H38" s="525"/>
      <c r="I38" s="525"/>
      <c r="J38" s="525"/>
      <c r="K38" s="525"/>
      <c r="L38" s="525">
        <v>28000</v>
      </c>
    </row>
    <row r="39" spans="1:12" ht="18.75" customHeight="1" x14ac:dyDescent="0.3">
      <c r="A39" s="207" t="s">
        <v>673</v>
      </c>
      <c r="B39" s="601"/>
      <c r="C39" s="450"/>
      <c r="D39" s="450"/>
      <c r="E39" s="450"/>
      <c r="F39" s="525"/>
      <c r="G39" s="525"/>
      <c r="H39" s="525"/>
      <c r="I39" s="525"/>
      <c r="J39" s="525"/>
      <c r="K39" s="525"/>
      <c r="L39" s="525">
        <v>22000</v>
      </c>
    </row>
    <row r="40" spans="1:12" ht="18.75" customHeight="1" x14ac:dyDescent="0.3">
      <c r="A40" s="207" t="s">
        <v>666</v>
      </c>
      <c r="B40" s="601"/>
      <c r="C40" s="450"/>
      <c r="D40" s="450"/>
      <c r="E40" s="450"/>
      <c r="F40" s="525"/>
      <c r="G40" s="525"/>
      <c r="H40" s="525"/>
      <c r="I40" s="525"/>
      <c r="J40" s="525"/>
      <c r="K40" s="525"/>
      <c r="L40" s="525">
        <v>10000</v>
      </c>
    </row>
    <row r="41" spans="1:12" ht="18.75" customHeight="1" x14ac:dyDescent="0.3">
      <c r="A41" s="207" t="s">
        <v>667</v>
      </c>
      <c r="B41" s="601"/>
      <c r="C41" s="450"/>
      <c r="D41" s="450"/>
      <c r="E41" s="450"/>
      <c r="F41" s="525"/>
      <c r="G41" s="525"/>
      <c r="H41" s="525"/>
      <c r="I41" s="525"/>
      <c r="J41" s="525"/>
      <c r="K41" s="525"/>
      <c r="L41" s="525">
        <v>18000</v>
      </c>
    </row>
    <row r="42" spans="1:12" ht="18.75" customHeight="1" x14ac:dyDescent="0.3">
      <c r="A42" s="207" t="s">
        <v>668</v>
      </c>
      <c r="B42" s="601"/>
      <c r="C42" s="450"/>
      <c r="D42" s="450"/>
      <c r="E42" s="450"/>
      <c r="F42" s="525"/>
      <c r="G42" s="525"/>
      <c r="H42" s="525"/>
      <c r="I42" s="525"/>
      <c r="J42" s="525"/>
      <c r="K42" s="525"/>
      <c r="L42" s="525">
        <v>14000</v>
      </c>
    </row>
    <row r="43" spans="1:12" ht="18.75" customHeight="1" x14ac:dyDescent="0.3">
      <c r="A43" s="207" t="s">
        <v>684</v>
      </c>
      <c r="B43" s="601"/>
      <c r="C43" s="450"/>
      <c r="D43" s="450"/>
      <c r="E43" s="450"/>
      <c r="F43" s="525"/>
      <c r="G43" s="525"/>
      <c r="H43" s="525"/>
      <c r="I43" s="525"/>
      <c r="J43" s="525"/>
      <c r="K43" s="525"/>
      <c r="L43" s="525">
        <v>35000</v>
      </c>
    </row>
    <row r="44" spans="1:12" ht="18.75" customHeight="1" thickBot="1" x14ac:dyDescent="0.35">
      <c r="A44" s="207"/>
      <c r="B44" s="602">
        <v>4500</v>
      </c>
      <c r="C44" s="603"/>
      <c r="D44" s="603"/>
      <c r="E44" s="603"/>
      <c r="F44" s="604"/>
      <c r="G44" s="604"/>
      <c r="H44" s="604"/>
      <c r="I44" s="604"/>
      <c r="J44" s="604"/>
      <c r="K44" s="604"/>
      <c r="L44" s="604"/>
    </row>
    <row r="45" spans="1:12" ht="18.75" customHeight="1" thickTop="1" x14ac:dyDescent="0.3">
      <c r="A45" s="99" t="s">
        <v>84</v>
      </c>
      <c r="B45" s="597">
        <f t="shared" ref="B45:K45" si="1">SUM(B4:B44)</f>
        <v>28725</v>
      </c>
      <c r="C45" s="597">
        <f t="shared" si="1"/>
        <v>42495</v>
      </c>
      <c r="D45" s="597">
        <f t="shared" si="1"/>
        <v>55752</v>
      </c>
      <c r="E45" s="597">
        <f t="shared" si="1"/>
        <v>66811</v>
      </c>
      <c r="F45" s="575">
        <f t="shared" si="1"/>
        <v>87400</v>
      </c>
      <c r="G45" s="575">
        <f t="shared" si="1"/>
        <v>102200</v>
      </c>
      <c r="H45" s="575">
        <f t="shared" si="1"/>
        <v>129136</v>
      </c>
      <c r="I45" s="575">
        <f t="shared" si="1"/>
        <v>119560</v>
      </c>
      <c r="J45" s="575">
        <f t="shared" si="1"/>
        <v>77830</v>
      </c>
      <c r="K45" s="575">
        <f t="shared" si="1"/>
        <v>123880</v>
      </c>
      <c r="L45" s="575">
        <f>SUM(L4:L44)</f>
        <v>190480</v>
      </c>
    </row>
    <row r="46" spans="1:12" s="42" customFormat="1" ht="18.75" customHeight="1" x14ac:dyDescent="0.3">
      <c r="A46" s="107"/>
      <c r="B46" s="107"/>
    </row>
    <row r="47" spans="1:12" ht="18.75" customHeight="1" x14ac:dyDescent="0.3">
      <c r="A47" s="107"/>
      <c r="B47" s="107"/>
    </row>
    <row r="48" spans="1:12" ht="18.75" customHeight="1" x14ac:dyDescent="0.3">
      <c r="A48" s="107"/>
      <c r="B48" s="107"/>
    </row>
    <row r="49" spans="1:2" ht="18.75" customHeight="1" x14ac:dyDescent="0.3">
      <c r="A49" s="107"/>
      <c r="B49" s="107"/>
    </row>
    <row r="50" spans="1:2" ht="18.75" customHeight="1" x14ac:dyDescent="0.3">
      <c r="A50" s="107"/>
      <c r="B50" s="107"/>
    </row>
  </sheetData>
  <phoneticPr fontId="18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2"/>
  <cols>
    <col min="1" max="1" width="44.140625" style="13" bestFit="1" customWidth="1"/>
    <col min="2" max="2" width="11" style="14" hidden="1" customWidth="1"/>
    <col min="3" max="8" width="11" style="92" hidden="1" customWidth="1"/>
    <col min="9" max="9" width="0" style="92" hidden="1" customWidth="1"/>
    <col min="10" max="16384" width="9.140625" style="92"/>
  </cols>
  <sheetData>
    <row r="1" spans="1:12" s="141" customFormat="1" ht="18.75" customHeight="1" x14ac:dyDescent="0.3">
      <c r="A1" s="175" t="s">
        <v>414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8.75" customHeight="1" x14ac:dyDescent="0.3">
      <c r="A2" s="9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141" customFormat="1" ht="18.75" customHeight="1" x14ac:dyDescent="0.3">
      <c r="A3" s="389" t="s">
        <v>86</v>
      </c>
      <c r="B3" s="390">
        <v>2010</v>
      </c>
      <c r="C3" s="390">
        <v>2013</v>
      </c>
      <c r="D3" s="390">
        <v>2014</v>
      </c>
      <c r="E3" s="390">
        <v>2015</v>
      </c>
      <c r="F3" s="390">
        <v>2016</v>
      </c>
      <c r="G3" s="390">
        <v>2017</v>
      </c>
      <c r="H3" s="390">
        <v>2018</v>
      </c>
      <c r="I3" s="390">
        <v>2019</v>
      </c>
      <c r="J3" s="390">
        <v>2020</v>
      </c>
      <c r="K3" s="390">
        <v>2021</v>
      </c>
      <c r="L3" s="390">
        <v>2022</v>
      </c>
    </row>
    <row r="4" spans="1:12" s="141" customFormat="1" ht="18.75" customHeight="1" x14ac:dyDescent="0.3">
      <c r="A4" s="387"/>
      <c r="B4" s="388"/>
      <c r="C4" s="388"/>
      <c r="D4" s="388"/>
      <c r="E4" s="388"/>
      <c r="F4" s="559"/>
      <c r="G4" s="559"/>
      <c r="H4" s="559"/>
      <c r="I4" s="559"/>
      <c r="J4" s="559"/>
      <c r="K4" s="559"/>
      <c r="L4" s="559"/>
    </row>
    <row r="5" spans="1:12" s="141" customFormat="1" ht="18.75" customHeight="1" x14ac:dyDescent="0.3">
      <c r="A5" s="59" t="s">
        <v>474</v>
      </c>
      <c r="B5" s="45">
        <v>100</v>
      </c>
      <c r="C5" s="45">
        <v>200</v>
      </c>
      <c r="D5" s="45">
        <v>200</v>
      </c>
      <c r="E5" s="45">
        <v>200</v>
      </c>
      <c r="F5" s="529">
        <v>200</v>
      </c>
      <c r="G5" s="529">
        <v>200</v>
      </c>
      <c r="H5" s="529">
        <v>200</v>
      </c>
      <c r="I5" s="529">
        <v>200</v>
      </c>
      <c r="J5" s="529">
        <v>200</v>
      </c>
      <c r="K5" s="529">
        <v>100</v>
      </c>
      <c r="L5" s="529">
        <v>100</v>
      </c>
    </row>
    <row r="6" spans="1:12" s="141" customFormat="1" ht="18.75" customHeight="1" x14ac:dyDescent="0.3">
      <c r="A6" s="59" t="s">
        <v>136</v>
      </c>
      <c r="B6" s="45">
        <v>1000</v>
      </c>
      <c r="C6" s="45">
        <v>600</v>
      </c>
      <c r="D6" s="45">
        <v>600</v>
      </c>
      <c r="E6" s="45">
        <v>600</v>
      </c>
      <c r="F6" s="529">
        <v>600</v>
      </c>
      <c r="G6" s="529">
        <v>600</v>
      </c>
      <c r="H6" s="529">
        <v>600</v>
      </c>
      <c r="I6" s="529">
        <v>600</v>
      </c>
      <c r="J6" s="529">
        <v>600</v>
      </c>
      <c r="K6" s="529">
        <v>300</v>
      </c>
      <c r="L6" s="529">
        <v>300</v>
      </c>
    </row>
    <row r="7" spans="1:12" s="141" customFormat="1" ht="18.75" customHeight="1" x14ac:dyDescent="0.3">
      <c r="A7" s="59" t="s">
        <v>138</v>
      </c>
      <c r="B7" s="45">
        <v>300</v>
      </c>
      <c r="C7" s="45">
        <v>500</v>
      </c>
      <c r="D7" s="45">
        <v>600</v>
      </c>
      <c r="E7" s="45">
        <v>600</v>
      </c>
      <c r="F7" s="529">
        <v>600</v>
      </c>
      <c r="G7" s="529">
        <v>800</v>
      </c>
      <c r="H7" s="529">
        <v>800</v>
      </c>
      <c r="I7" s="529">
        <v>1000</v>
      </c>
      <c r="J7" s="529">
        <v>1000</v>
      </c>
      <c r="K7" s="529">
        <v>1000</v>
      </c>
      <c r="L7" s="529">
        <v>600</v>
      </c>
    </row>
    <row r="8" spans="1:12" s="141" customFormat="1" ht="18.75" customHeight="1" x14ac:dyDescent="0.3">
      <c r="A8" s="106" t="s">
        <v>532</v>
      </c>
      <c r="B8" s="45">
        <v>6900</v>
      </c>
      <c r="C8" s="45">
        <v>2400</v>
      </c>
      <c r="D8" s="45">
        <f>2400+600+600</f>
        <v>3600</v>
      </c>
      <c r="E8" s="45">
        <f>(176.9*2*12)</f>
        <v>4245.6000000000004</v>
      </c>
      <c r="F8" s="529">
        <f>(176.9*2*12)</f>
        <v>4245.6000000000004</v>
      </c>
      <c r="G8" s="529">
        <f>(176.9*2*12)</f>
        <v>4245.6000000000004</v>
      </c>
      <c r="H8" s="529">
        <f>(176.9*2*12)</f>
        <v>4245.6000000000004</v>
      </c>
      <c r="I8" s="529">
        <v>1400</v>
      </c>
      <c r="J8" s="529">
        <f>700*2</f>
        <v>1400</v>
      </c>
      <c r="K8" s="529">
        <f>700*2</f>
        <v>1400</v>
      </c>
      <c r="L8" s="529">
        <f>700*2</f>
        <v>1400</v>
      </c>
    </row>
    <row r="9" spans="1:12" s="141" customFormat="1" ht="18.75" customHeight="1" x14ac:dyDescent="0.3">
      <c r="A9" s="59" t="s">
        <v>135</v>
      </c>
      <c r="B9" s="45">
        <v>600</v>
      </c>
      <c r="C9" s="45">
        <v>500</v>
      </c>
      <c r="D9" s="45">
        <v>600</v>
      </c>
      <c r="E9" s="45">
        <v>600</v>
      </c>
      <c r="F9" s="529">
        <v>700</v>
      </c>
      <c r="G9" s="529">
        <v>800</v>
      </c>
      <c r="H9" s="529">
        <v>800</v>
      </c>
      <c r="I9" s="529">
        <v>1500</v>
      </c>
      <c r="J9" s="529">
        <v>1500</v>
      </c>
      <c r="K9" s="529">
        <v>1500</v>
      </c>
      <c r="L9" s="529">
        <v>1000</v>
      </c>
    </row>
    <row r="10" spans="1:12" ht="18.75" customHeight="1" x14ac:dyDescent="0.3">
      <c r="A10" s="59" t="s">
        <v>134</v>
      </c>
      <c r="B10" s="45">
        <v>100</v>
      </c>
      <c r="C10" s="45">
        <v>100</v>
      </c>
      <c r="D10" s="45">
        <v>100</v>
      </c>
      <c r="E10" s="45">
        <v>100</v>
      </c>
      <c r="F10" s="529">
        <v>150</v>
      </c>
      <c r="G10" s="529">
        <v>150</v>
      </c>
      <c r="H10" s="529">
        <v>150</v>
      </c>
      <c r="I10" s="529">
        <v>250</v>
      </c>
      <c r="J10" s="529">
        <v>250</v>
      </c>
      <c r="K10" s="529">
        <v>250</v>
      </c>
      <c r="L10" s="529">
        <v>250</v>
      </c>
    </row>
    <row r="11" spans="1:12" ht="18.75" customHeight="1" x14ac:dyDescent="0.3">
      <c r="A11" s="59" t="s">
        <v>475</v>
      </c>
      <c r="B11" s="45">
        <v>2200</v>
      </c>
      <c r="C11" s="45">
        <v>1500</v>
      </c>
      <c r="D11" s="45">
        <v>1600</v>
      </c>
      <c r="E11" s="45">
        <v>1600</v>
      </c>
      <c r="F11" s="529">
        <v>1600</v>
      </c>
      <c r="G11" s="529">
        <v>1600</v>
      </c>
      <c r="H11" s="529">
        <v>1600</v>
      </c>
      <c r="I11" s="529">
        <v>1200</v>
      </c>
      <c r="J11" s="529">
        <v>1200</v>
      </c>
      <c r="K11" s="529">
        <v>800</v>
      </c>
      <c r="L11" s="529">
        <v>600</v>
      </c>
    </row>
    <row r="12" spans="1:12" ht="18.75" customHeight="1" x14ac:dyDescent="0.3">
      <c r="A12" s="59" t="s">
        <v>137</v>
      </c>
      <c r="B12" s="45">
        <v>500</v>
      </c>
      <c r="C12" s="45">
        <v>300</v>
      </c>
      <c r="D12" s="45">
        <v>250</v>
      </c>
      <c r="E12" s="45">
        <v>200</v>
      </c>
      <c r="F12" s="529">
        <v>200</v>
      </c>
      <c r="G12" s="529">
        <v>250</v>
      </c>
      <c r="H12" s="529">
        <v>250</v>
      </c>
      <c r="I12" s="529">
        <v>1200</v>
      </c>
      <c r="J12" s="529">
        <v>600</v>
      </c>
      <c r="K12" s="529">
        <v>400</v>
      </c>
      <c r="L12" s="529">
        <v>200</v>
      </c>
    </row>
    <row r="13" spans="1:12" ht="18.75" customHeight="1" x14ac:dyDescent="0.3">
      <c r="A13" s="59" t="s">
        <v>476</v>
      </c>
      <c r="B13" s="45"/>
      <c r="C13" s="45">
        <v>750</v>
      </c>
      <c r="D13" s="45">
        <v>700</v>
      </c>
      <c r="E13" s="45">
        <v>700</v>
      </c>
      <c r="F13" s="529">
        <v>700</v>
      </c>
      <c r="G13" s="529">
        <v>700</v>
      </c>
      <c r="H13" s="529">
        <v>1500</v>
      </c>
      <c r="I13" s="529">
        <v>2200</v>
      </c>
      <c r="J13" s="529">
        <v>2200</v>
      </c>
      <c r="K13" s="529">
        <v>2100</v>
      </c>
      <c r="L13" s="529">
        <v>1500</v>
      </c>
    </row>
    <row r="14" spans="1:12" ht="18.75" customHeight="1" x14ac:dyDescent="0.3">
      <c r="A14" s="59" t="s">
        <v>477</v>
      </c>
      <c r="B14" s="45"/>
      <c r="C14" s="45">
        <v>750</v>
      </c>
      <c r="D14" s="45">
        <f>750+800</f>
        <v>1550</v>
      </c>
      <c r="E14" s="45">
        <v>1600</v>
      </c>
      <c r="F14" s="529">
        <v>1600</v>
      </c>
      <c r="G14" s="529">
        <v>1600</v>
      </c>
      <c r="H14" s="529">
        <v>1600</v>
      </c>
      <c r="I14" s="529">
        <v>1750</v>
      </c>
      <c r="J14" s="529">
        <v>1750</v>
      </c>
      <c r="K14" s="529">
        <v>1750</v>
      </c>
      <c r="L14" s="529">
        <v>1000</v>
      </c>
    </row>
    <row r="15" spans="1:12" ht="18.75" customHeight="1" x14ac:dyDescent="0.3">
      <c r="A15" s="51"/>
      <c r="B15" s="45"/>
      <c r="C15" s="45"/>
      <c r="D15" s="45"/>
      <c r="E15" s="45"/>
      <c r="F15" s="529"/>
      <c r="G15" s="529"/>
      <c r="H15" s="529"/>
      <c r="I15" s="529"/>
      <c r="J15" s="529"/>
      <c r="K15" s="529"/>
      <c r="L15" s="529"/>
    </row>
    <row r="16" spans="1:12" ht="18.75" customHeight="1" x14ac:dyDescent="0.3">
      <c r="A16" s="51"/>
      <c r="B16" s="45"/>
      <c r="C16" s="45"/>
      <c r="D16" s="45"/>
      <c r="E16" s="45"/>
      <c r="F16" s="529"/>
      <c r="G16" s="529"/>
      <c r="H16" s="529"/>
      <c r="I16" s="529"/>
      <c r="J16" s="529"/>
      <c r="K16" s="529"/>
      <c r="L16" s="529"/>
    </row>
    <row r="17" spans="1:12" ht="18.75" customHeight="1" x14ac:dyDescent="0.3">
      <c r="A17" s="51"/>
      <c r="B17" s="98"/>
      <c r="C17" s="98"/>
      <c r="D17" s="98"/>
      <c r="E17" s="98"/>
      <c r="F17" s="560"/>
      <c r="G17" s="560"/>
      <c r="H17" s="560"/>
      <c r="I17" s="560"/>
      <c r="J17" s="560"/>
      <c r="K17" s="560"/>
      <c r="L17" s="560"/>
    </row>
    <row r="18" spans="1:12" ht="18.75" customHeight="1" x14ac:dyDescent="0.3">
      <c r="A18" s="51"/>
      <c r="B18" s="98"/>
      <c r="C18" s="98"/>
      <c r="D18" s="98"/>
      <c r="E18" s="98"/>
      <c r="F18" s="560"/>
      <c r="G18" s="560"/>
      <c r="H18" s="560"/>
      <c r="I18" s="560"/>
      <c r="J18" s="560"/>
      <c r="K18" s="560"/>
      <c r="L18" s="560"/>
    </row>
    <row r="19" spans="1:12" ht="18.75" customHeight="1" thickBot="1" x14ac:dyDescent="0.35">
      <c r="A19" s="51"/>
      <c r="B19" s="98">
        <v>-3400</v>
      </c>
      <c r="C19" s="98"/>
      <c r="D19" s="98"/>
      <c r="E19" s="98"/>
      <c r="F19" s="560"/>
      <c r="G19" s="560"/>
      <c r="H19" s="560"/>
      <c r="I19" s="560"/>
      <c r="J19" s="560"/>
      <c r="K19" s="560"/>
      <c r="L19" s="560"/>
    </row>
    <row r="20" spans="1:12" ht="18.75" customHeight="1" thickTop="1" x14ac:dyDescent="0.3">
      <c r="A20" s="99" t="s">
        <v>84</v>
      </c>
      <c r="B20" s="85">
        <f t="shared" ref="B20:H20" si="0">SUM(B4:B19)</f>
        <v>8300</v>
      </c>
      <c r="C20" s="85">
        <f t="shared" si="0"/>
        <v>7600</v>
      </c>
      <c r="D20" s="85">
        <f t="shared" si="0"/>
        <v>9800</v>
      </c>
      <c r="E20" s="85">
        <f t="shared" si="0"/>
        <v>10445.6</v>
      </c>
      <c r="F20" s="561">
        <f t="shared" si="0"/>
        <v>10595.6</v>
      </c>
      <c r="G20" s="561">
        <f>SUM(G4:G19)</f>
        <v>10945.6</v>
      </c>
      <c r="H20" s="561">
        <f t="shared" si="0"/>
        <v>11745.6</v>
      </c>
      <c r="I20" s="561">
        <f>SUM(I4:I19)</f>
        <v>11300</v>
      </c>
      <c r="J20" s="561">
        <f>SUM(J4:J19)</f>
        <v>10700</v>
      </c>
      <c r="K20" s="561">
        <f>SUM(K4:K19)</f>
        <v>9600</v>
      </c>
      <c r="L20" s="561">
        <f>SUM(L4:L19)</f>
        <v>6950</v>
      </c>
    </row>
    <row r="21" spans="1:12" ht="18.75" customHeight="1" x14ac:dyDescent="0.3">
      <c r="A21" s="93"/>
      <c r="B21" s="41"/>
      <c r="C21" s="24"/>
    </row>
    <row r="22" spans="1:12" ht="18.75" customHeight="1" x14ac:dyDescent="0.3">
      <c r="A22" s="93"/>
      <c r="B22" s="41"/>
      <c r="C22" s="24"/>
    </row>
  </sheetData>
  <phoneticPr fontId="18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9.7109375" style="93" bestFit="1" customWidth="1"/>
    <col min="2" max="2" width="10.7109375" style="41" hidden="1" customWidth="1"/>
    <col min="3" max="8" width="10.7109375" style="24" hidden="1" customWidth="1"/>
    <col min="9" max="9" width="0" style="24" hidden="1" customWidth="1"/>
    <col min="10" max="16384" width="9.140625" style="24"/>
  </cols>
  <sheetData>
    <row r="1" spans="1:12" s="42" customFormat="1" ht="18.75" customHeight="1" x14ac:dyDescent="0.3">
      <c r="A1" s="175" t="s">
        <v>415</v>
      </c>
      <c r="B1" s="162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customHeight="1" x14ac:dyDescent="0.3">
      <c r="A2" s="94"/>
      <c r="B2" s="45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42" customFormat="1" ht="18.75" customHeight="1" x14ac:dyDescent="0.3">
      <c r="A3" s="37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s="119" customFormat="1" ht="18.75" customHeight="1" x14ac:dyDescent="0.3">
      <c r="A4" s="113"/>
      <c r="B4" s="113"/>
      <c r="C4" s="113"/>
      <c r="D4" s="113"/>
      <c r="E4" s="113"/>
      <c r="F4" s="517"/>
      <c r="G4" s="517"/>
      <c r="H4" s="517"/>
      <c r="I4" s="517"/>
      <c r="J4" s="517"/>
      <c r="K4" s="517"/>
      <c r="L4" s="517"/>
    </row>
    <row r="5" spans="1:12" s="119" customFormat="1" ht="24.95" hidden="1" customHeight="1" x14ac:dyDescent="0.3">
      <c r="A5" s="59" t="s">
        <v>372</v>
      </c>
      <c r="B5" s="151">
        <v>4500</v>
      </c>
      <c r="C5" s="151">
        <v>3000</v>
      </c>
      <c r="D5" s="151">
        <v>3200</v>
      </c>
      <c r="E5" s="151">
        <v>2600</v>
      </c>
      <c r="F5" s="477">
        <v>2600</v>
      </c>
      <c r="G5" s="477">
        <v>2600</v>
      </c>
      <c r="H5" s="477"/>
      <c r="I5" s="477"/>
      <c r="J5" s="477"/>
      <c r="K5" s="477"/>
      <c r="L5" s="477"/>
    </row>
    <row r="6" spans="1:12" s="119" customFormat="1" ht="24.95" customHeight="1" x14ac:dyDescent="0.3">
      <c r="A6" s="59" t="s">
        <v>649</v>
      </c>
      <c r="B6" s="151">
        <v>200</v>
      </c>
      <c r="C6" s="151">
        <v>200</v>
      </c>
      <c r="D6" s="151">
        <v>300</v>
      </c>
      <c r="E6" s="151">
        <v>300</v>
      </c>
      <c r="F6" s="477">
        <v>300</v>
      </c>
      <c r="G6" s="477">
        <v>300</v>
      </c>
      <c r="H6" s="477">
        <v>300</v>
      </c>
      <c r="I6" s="477">
        <v>500</v>
      </c>
      <c r="J6" s="477">
        <v>800</v>
      </c>
      <c r="K6" s="477">
        <v>800</v>
      </c>
      <c r="L6" s="477">
        <v>800</v>
      </c>
    </row>
    <row r="7" spans="1:12" s="193" customFormat="1" ht="24.95" customHeight="1" x14ac:dyDescent="0.3">
      <c r="A7" s="116" t="s">
        <v>454</v>
      </c>
      <c r="B7" s="151">
        <v>3500</v>
      </c>
      <c r="C7" s="151">
        <v>5000</v>
      </c>
      <c r="D7" s="151">
        <v>5000</v>
      </c>
      <c r="E7" s="151">
        <v>3500</v>
      </c>
      <c r="F7" s="477">
        <v>3800</v>
      </c>
      <c r="G7" s="477">
        <v>3800</v>
      </c>
      <c r="H7" s="477">
        <f>3800+2600</f>
        <v>6400</v>
      </c>
      <c r="I7" s="477">
        <f>4000+3000</f>
        <v>7000</v>
      </c>
      <c r="J7" s="477">
        <f>4000+3000</f>
        <v>7000</v>
      </c>
      <c r="K7" s="477">
        <f>4000+3000</f>
        <v>7000</v>
      </c>
      <c r="L7" s="477">
        <f>3000+2000</f>
        <v>5000</v>
      </c>
    </row>
    <row r="8" spans="1:12" ht="24.95" customHeight="1" x14ac:dyDescent="0.3">
      <c r="A8" s="59" t="s">
        <v>598</v>
      </c>
      <c r="B8" s="52">
        <v>600</v>
      </c>
      <c r="C8" s="52">
        <v>500</v>
      </c>
      <c r="D8" s="52">
        <v>600</v>
      </c>
      <c r="E8" s="52">
        <v>600</v>
      </c>
      <c r="F8" s="466">
        <v>600</v>
      </c>
      <c r="G8" s="466">
        <v>600</v>
      </c>
      <c r="H8" s="466">
        <v>800</v>
      </c>
      <c r="I8" s="466">
        <v>800</v>
      </c>
      <c r="J8" s="466">
        <v>800</v>
      </c>
      <c r="K8" s="466">
        <v>800</v>
      </c>
      <c r="L8" s="466">
        <v>1000</v>
      </c>
    </row>
    <row r="9" spans="1:12" ht="24.95" customHeight="1" x14ac:dyDescent="0.3">
      <c r="A9" s="65" t="s">
        <v>373</v>
      </c>
      <c r="B9" s="52">
        <v>140</v>
      </c>
      <c r="C9" s="52">
        <v>500</v>
      </c>
      <c r="D9" s="52">
        <v>500</v>
      </c>
      <c r="E9" s="52">
        <v>400</v>
      </c>
      <c r="F9" s="466">
        <v>400</v>
      </c>
      <c r="G9" s="466">
        <v>400</v>
      </c>
      <c r="H9" s="466">
        <v>500</v>
      </c>
      <c r="I9" s="466">
        <v>600</v>
      </c>
      <c r="J9" s="466">
        <v>600</v>
      </c>
      <c r="K9" s="466">
        <v>600</v>
      </c>
      <c r="L9" s="466">
        <v>600</v>
      </c>
    </row>
    <row r="10" spans="1:12" ht="24.95" customHeight="1" x14ac:dyDescent="0.3">
      <c r="A10" s="59" t="s">
        <v>257</v>
      </c>
      <c r="B10" s="52">
        <v>450</v>
      </c>
      <c r="C10" s="52">
        <v>500</v>
      </c>
      <c r="D10" s="52">
        <v>600</v>
      </c>
      <c r="E10" s="52">
        <v>600</v>
      </c>
      <c r="F10" s="466">
        <v>600</v>
      </c>
      <c r="G10" s="466">
        <v>600</v>
      </c>
      <c r="H10" s="466">
        <v>600</v>
      </c>
      <c r="I10" s="466">
        <v>750</v>
      </c>
      <c r="J10" s="466">
        <v>750</v>
      </c>
      <c r="K10" s="466">
        <v>750</v>
      </c>
      <c r="L10" s="466">
        <v>750</v>
      </c>
    </row>
    <row r="11" spans="1:12" ht="24.95" customHeight="1" x14ac:dyDescent="0.3">
      <c r="A11" s="59" t="s">
        <v>280</v>
      </c>
      <c r="B11" s="52">
        <v>200</v>
      </c>
      <c r="C11" s="52">
        <v>300</v>
      </c>
      <c r="D11" s="52">
        <v>350</v>
      </c>
      <c r="E11" s="52">
        <v>350</v>
      </c>
      <c r="F11" s="466">
        <v>350</v>
      </c>
      <c r="G11" s="466">
        <v>350</v>
      </c>
      <c r="H11" s="466">
        <v>400</v>
      </c>
      <c r="I11" s="466">
        <v>500</v>
      </c>
      <c r="J11" s="466">
        <v>500</v>
      </c>
      <c r="K11" s="466">
        <v>500</v>
      </c>
      <c r="L11" s="466">
        <v>500</v>
      </c>
    </row>
    <row r="12" spans="1:12" ht="24.95" customHeight="1" x14ac:dyDescent="0.3">
      <c r="A12" s="59" t="s">
        <v>637</v>
      </c>
      <c r="B12" s="52"/>
      <c r="C12" s="52"/>
      <c r="D12" s="52"/>
      <c r="E12" s="54">
        <v>2000</v>
      </c>
      <c r="F12" s="467">
        <v>2250</v>
      </c>
      <c r="G12" s="467">
        <v>2250</v>
      </c>
      <c r="H12" s="467">
        <v>2400</v>
      </c>
      <c r="I12" s="467">
        <v>2500</v>
      </c>
      <c r="J12" s="467">
        <v>2500</v>
      </c>
      <c r="K12" s="467">
        <v>2500</v>
      </c>
      <c r="L12" s="467">
        <v>2000</v>
      </c>
    </row>
    <row r="13" spans="1:12" ht="24.95" customHeight="1" x14ac:dyDescent="0.3">
      <c r="A13" s="59" t="s">
        <v>638</v>
      </c>
      <c r="B13" s="52"/>
      <c r="C13" s="52"/>
      <c r="D13" s="52"/>
      <c r="E13" s="52"/>
      <c r="F13" s="466"/>
      <c r="G13" s="466"/>
      <c r="H13" s="466"/>
      <c r="I13" s="466">
        <v>0</v>
      </c>
      <c r="J13" s="466">
        <v>0</v>
      </c>
      <c r="K13" s="466">
        <f>(8*350)+(14*350)</f>
        <v>7700</v>
      </c>
      <c r="L13" s="466">
        <v>0</v>
      </c>
    </row>
    <row r="14" spans="1:12" ht="24.95" customHeight="1" x14ac:dyDescent="0.3">
      <c r="A14" s="59" t="s">
        <v>672</v>
      </c>
      <c r="B14" s="52"/>
      <c r="C14" s="52"/>
      <c r="D14" s="52"/>
      <c r="E14" s="52"/>
      <c r="F14" s="466"/>
      <c r="G14" s="466"/>
      <c r="H14" s="466"/>
      <c r="I14" s="466"/>
      <c r="J14" s="466"/>
      <c r="K14" s="466"/>
      <c r="L14" s="466">
        <f>3000*2</f>
        <v>6000</v>
      </c>
    </row>
    <row r="15" spans="1:12" ht="24.95" customHeight="1" x14ac:dyDescent="0.3">
      <c r="A15" s="360" t="s">
        <v>674</v>
      </c>
      <c r="B15" s="228"/>
      <c r="C15" s="228"/>
      <c r="D15" s="228"/>
      <c r="E15" s="228"/>
      <c r="F15" s="556"/>
      <c r="G15" s="556"/>
      <c r="H15" s="556"/>
      <c r="I15" s="556"/>
      <c r="J15" s="556"/>
      <c r="K15" s="556"/>
      <c r="L15" s="556">
        <f>(22*500)+(35*300)</f>
        <v>21500</v>
      </c>
    </row>
    <row r="16" spans="1:12" ht="24.95" customHeight="1" thickBot="1" x14ac:dyDescent="0.35">
      <c r="A16" s="360"/>
      <c r="B16" s="228">
        <v>-2000</v>
      </c>
      <c r="C16" s="228"/>
      <c r="D16" s="228"/>
      <c r="E16" s="228"/>
      <c r="F16" s="556"/>
      <c r="G16" s="556"/>
      <c r="H16" s="556"/>
      <c r="I16" s="556"/>
      <c r="J16" s="556"/>
      <c r="K16" s="556"/>
      <c r="L16" s="556"/>
    </row>
    <row r="17" spans="1:12" s="42" customFormat="1" ht="24.95" customHeight="1" thickTop="1" x14ac:dyDescent="0.3">
      <c r="A17" s="99" t="s">
        <v>84</v>
      </c>
      <c r="B17" s="161">
        <f t="shared" ref="B17:H17" si="0">SUM(B4:B16)</f>
        <v>7590</v>
      </c>
      <c r="C17" s="161">
        <f t="shared" si="0"/>
        <v>10000</v>
      </c>
      <c r="D17" s="161">
        <f t="shared" si="0"/>
        <v>10550</v>
      </c>
      <c r="E17" s="161">
        <f t="shared" si="0"/>
        <v>10350</v>
      </c>
      <c r="F17" s="480">
        <f t="shared" si="0"/>
        <v>10900</v>
      </c>
      <c r="G17" s="480">
        <f>SUM(G4:G16)</f>
        <v>10900</v>
      </c>
      <c r="H17" s="480">
        <f t="shared" si="0"/>
        <v>11400</v>
      </c>
      <c r="I17" s="480">
        <f>SUM(I4:I16)</f>
        <v>12650</v>
      </c>
      <c r="J17" s="480">
        <f>SUM(J4:J16)</f>
        <v>12950</v>
      </c>
      <c r="K17" s="480">
        <f>SUM(K4:K16)</f>
        <v>20650</v>
      </c>
      <c r="L17" s="480">
        <f>SUM(L4:L16)</f>
        <v>38150</v>
      </c>
    </row>
    <row r="19" spans="1:12" ht="18.75" customHeight="1" x14ac:dyDescent="0.3">
      <c r="A19" s="130"/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/>
  </sheetViews>
  <sheetFormatPr defaultColWidth="9.140625" defaultRowHeight="18.75" customHeight="1" x14ac:dyDescent="0.3"/>
  <cols>
    <col min="1" max="1" width="36.85546875" style="93" bestFit="1" customWidth="1"/>
    <col min="2" max="2" width="10.7109375" style="41" hidden="1" customWidth="1"/>
    <col min="3" max="8" width="10.7109375" style="24" hidden="1" customWidth="1"/>
    <col min="9" max="9" width="0" style="24" hidden="1" customWidth="1"/>
    <col min="10" max="16384" width="9.140625" style="24"/>
  </cols>
  <sheetData>
    <row r="1" spans="1:12" s="42" customFormat="1" ht="18.75" customHeight="1" x14ac:dyDescent="0.3">
      <c r="A1" s="175" t="s">
        <v>416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8.75" customHeight="1" x14ac:dyDescent="0.3">
      <c r="A2" s="9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42" customFormat="1" ht="18.75" customHeight="1" x14ac:dyDescent="0.3">
      <c r="A3" s="37" t="s">
        <v>86</v>
      </c>
      <c r="B3" s="95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s="119" customFormat="1" ht="18.75" customHeight="1" x14ac:dyDescent="0.3">
      <c r="A4" s="97"/>
      <c r="B4" s="180"/>
      <c r="C4" s="180"/>
      <c r="D4" s="180"/>
      <c r="E4" s="180"/>
      <c r="F4" s="548"/>
      <c r="G4" s="548"/>
      <c r="H4" s="548"/>
      <c r="I4" s="548"/>
      <c r="J4" s="548"/>
      <c r="K4" s="548"/>
      <c r="L4" s="548"/>
    </row>
    <row r="5" spans="1:12" s="42" customFormat="1" ht="18.75" customHeight="1" x14ac:dyDescent="0.3">
      <c r="A5" s="59"/>
      <c r="B5" s="32"/>
      <c r="C5" s="32"/>
      <c r="D5" s="32"/>
      <c r="E5" s="32"/>
      <c r="F5" s="534"/>
      <c r="G5" s="534"/>
      <c r="H5" s="534"/>
      <c r="I5" s="534"/>
      <c r="J5" s="534"/>
      <c r="K5" s="534"/>
      <c r="L5" s="534"/>
    </row>
    <row r="6" spans="1:12" s="42" customFormat="1" ht="18.75" customHeight="1" x14ac:dyDescent="0.3">
      <c r="A6" s="59" t="s">
        <v>533</v>
      </c>
      <c r="B6" s="32">
        <v>210</v>
      </c>
      <c r="C6" s="32">
        <v>320</v>
      </c>
      <c r="D6" s="596">
        <v>320</v>
      </c>
      <c r="E6" s="596">
        <v>300</v>
      </c>
      <c r="F6" s="584">
        <v>300</v>
      </c>
      <c r="G6" s="584">
        <v>300</v>
      </c>
      <c r="H6" s="584">
        <v>300</v>
      </c>
      <c r="I6" s="584">
        <v>350</v>
      </c>
      <c r="J6" s="584">
        <v>800</v>
      </c>
      <c r="K6" s="584">
        <v>800</v>
      </c>
      <c r="L6" s="584">
        <v>800</v>
      </c>
    </row>
    <row r="7" spans="1:12" s="42" customFormat="1" ht="18.75" customHeight="1" x14ac:dyDescent="0.3">
      <c r="A7" s="59" t="s">
        <v>515</v>
      </c>
      <c r="B7" s="32">
        <v>70</v>
      </c>
      <c r="C7" s="32">
        <v>45</v>
      </c>
      <c r="D7" s="596">
        <v>45</v>
      </c>
      <c r="E7" s="596">
        <v>45</v>
      </c>
      <c r="F7" s="584">
        <v>45</v>
      </c>
      <c r="G7" s="584">
        <v>45</v>
      </c>
      <c r="H7" s="584">
        <v>45</v>
      </c>
      <c r="I7" s="584">
        <v>50</v>
      </c>
      <c r="J7" s="584">
        <v>50</v>
      </c>
      <c r="K7" s="584">
        <v>50</v>
      </c>
      <c r="L7" s="584">
        <v>50</v>
      </c>
    </row>
    <row r="8" spans="1:12" s="42" customFormat="1" ht="18.75" customHeight="1" x14ac:dyDescent="0.3">
      <c r="A8" s="59" t="s">
        <v>488</v>
      </c>
      <c r="B8" s="32">
        <v>1000</v>
      </c>
      <c r="C8" s="32">
        <v>1000</v>
      </c>
      <c r="D8" s="596">
        <v>1500</v>
      </c>
      <c r="E8" s="596">
        <f>500+750+1500</f>
        <v>2750</v>
      </c>
      <c r="F8" s="584">
        <v>3100</v>
      </c>
      <c r="G8" s="584">
        <v>750</v>
      </c>
      <c r="H8" s="584">
        <v>800</v>
      </c>
      <c r="I8" s="584">
        <v>850</v>
      </c>
      <c r="J8" s="584">
        <v>1800</v>
      </c>
      <c r="K8" s="584">
        <v>1800</v>
      </c>
      <c r="L8" s="584">
        <v>1800</v>
      </c>
    </row>
    <row r="9" spans="1:12" s="42" customFormat="1" ht="18.75" customHeight="1" x14ac:dyDescent="0.3">
      <c r="A9" s="120"/>
      <c r="B9" s="32"/>
      <c r="C9" s="32"/>
      <c r="D9" s="32"/>
      <c r="E9" s="32"/>
      <c r="F9" s="534"/>
      <c r="G9" s="534"/>
      <c r="H9" s="534"/>
      <c r="I9" s="534"/>
      <c r="J9" s="534"/>
      <c r="K9" s="534"/>
      <c r="L9" s="534"/>
    </row>
    <row r="10" spans="1:12" ht="18.75" customHeight="1" x14ac:dyDescent="0.3">
      <c r="A10" s="120"/>
      <c r="B10" s="32"/>
      <c r="C10" s="32"/>
      <c r="D10" s="32"/>
      <c r="E10" s="32"/>
      <c r="F10" s="534"/>
      <c r="G10" s="534"/>
      <c r="H10" s="534"/>
      <c r="I10" s="534"/>
      <c r="J10" s="534"/>
      <c r="K10" s="534"/>
      <c r="L10" s="534"/>
    </row>
    <row r="11" spans="1:12" ht="18.75" customHeight="1" x14ac:dyDescent="0.3">
      <c r="A11" s="94"/>
      <c r="B11" s="32"/>
      <c r="C11" s="32"/>
      <c r="D11" s="32"/>
      <c r="E11" s="32"/>
      <c r="F11" s="534"/>
      <c r="G11" s="534"/>
      <c r="H11" s="534"/>
      <c r="I11" s="534"/>
      <c r="J11" s="534"/>
      <c r="K11" s="534"/>
      <c r="L11" s="534"/>
    </row>
    <row r="12" spans="1:12" ht="18.75" customHeight="1" thickBot="1" x14ac:dyDescent="0.35">
      <c r="A12" s="51"/>
      <c r="B12" s="46">
        <v>-75</v>
      </c>
      <c r="C12" s="46"/>
      <c r="D12" s="46"/>
      <c r="E12" s="46"/>
      <c r="F12" s="524"/>
      <c r="G12" s="524"/>
      <c r="H12" s="524"/>
      <c r="I12" s="524"/>
      <c r="J12" s="524"/>
      <c r="K12" s="524"/>
      <c r="L12" s="524"/>
    </row>
    <row r="13" spans="1:12" s="42" customFormat="1" ht="18.75" customHeight="1" thickTop="1" x14ac:dyDescent="0.3">
      <c r="A13" s="99" t="s">
        <v>84</v>
      </c>
      <c r="B13" s="597">
        <f t="shared" ref="B13:H13" si="0">SUM(B4:B12)</f>
        <v>1205</v>
      </c>
      <c r="C13" s="597">
        <f t="shared" si="0"/>
        <v>1365</v>
      </c>
      <c r="D13" s="597">
        <f t="shared" si="0"/>
        <v>1865</v>
      </c>
      <c r="E13" s="597">
        <f t="shared" si="0"/>
        <v>3095</v>
      </c>
      <c r="F13" s="575">
        <f t="shared" si="0"/>
        <v>3445</v>
      </c>
      <c r="G13" s="575">
        <f>SUM(G4:G12)</f>
        <v>1095</v>
      </c>
      <c r="H13" s="575">
        <f t="shared" si="0"/>
        <v>1145</v>
      </c>
      <c r="I13" s="575">
        <f>SUM(I4:I12)</f>
        <v>1250</v>
      </c>
      <c r="J13" s="575">
        <f>SUM(J4:J12)</f>
        <v>2650</v>
      </c>
      <c r="K13" s="575">
        <f>SUM(K4:K12)</f>
        <v>2650</v>
      </c>
      <c r="L13" s="575">
        <f>SUM(L4:L12)</f>
        <v>2650</v>
      </c>
    </row>
    <row r="15" spans="1:12" ht="18.75" customHeight="1" x14ac:dyDescent="0.3">
      <c r="A15" s="194"/>
      <c r="B15" s="131"/>
    </row>
    <row r="16" spans="1:12" ht="18.75" customHeight="1" x14ac:dyDescent="0.3">
      <c r="A16" s="194"/>
      <c r="B16" s="131"/>
    </row>
    <row r="17" spans="1:1" ht="18.75" customHeight="1" x14ac:dyDescent="0.3">
      <c r="A17" s="16"/>
    </row>
    <row r="18" spans="1:1" ht="18.75" customHeight="1" x14ac:dyDescent="0.3">
      <c r="A18" s="16"/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/>
  </sheetViews>
  <sheetFormatPr defaultColWidth="9.140625" defaultRowHeight="18.75" customHeight="1" x14ac:dyDescent="0.3"/>
  <cols>
    <col min="1" max="1" width="40.28515625" style="93" bestFit="1" customWidth="1"/>
    <col min="2" max="2" width="10.42578125" style="41" hidden="1" customWidth="1"/>
    <col min="3" max="8" width="10.42578125" style="24" hidden="1" customWidth="1"/>
    <col min="9" max="9" width="0" style="24" hidden="1" customWidth="1"/>
    <col min="10" max="10" width="9.140625" style="24"/>
    <col min="12" max="16384" width="9.140625" style="24"/>
  </cols>
  <sheetData>
    <row r="1" spans="1:12" s="42" customFormat="1" ht="18.75" customHeight="1" x14ac:dyDescent="0.3">
      <c r="A1" s="175" t="s">
        <v>417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8.75" customHeight="1" x14ac:dyDescent="0.3">
      <c r="A2" s="9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42" customFormat="1" ht="18.75" customHeight="1" x14ac:dyDescent="0.3">
      <c r="A3" s="100" t="s">
        <v>86</v>
      </c>
      <c r="B3" s="95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s="119" customFormat="1" ht="16.5" x14ac:dyDescent="0.3">
      <c r="A4" s="50"/>
      <c r="B4" s="114"/>
      <c r="C4" s="114"/>
      <c r="D4" s="114"/>
      <c r="E4" s="114"/>
      <c r="F4" s="564"/>
      <c r="G4" s="564"/>
      <c r="H4" s="564"/>
      <c r="I4" s="564"/>
      <c r="J4" s="564"/>
      <c r="K4" s="564"/>
      <c r="L4" s="564"/>
    </row>
    <row r="5" spans="1:12" s="42" customFormat="1" ht="18" customHeight="1" x14ac:dyDescent="0.3">
      <c r="A5" s="50" t="s">
        <v>112</v>
      </c>
      <c r="B5" s="57">
        <v>75</v>
      </c>
      <c r="C5" s="57">
        <v>200</v>
      </c>
      <c r="D5" s="57">
        <v>200</v>
      </c>
      <c r="E5" s="57">
        <v>200</v>
      </c>
      <c r="F5" s="530">
        <v>300</v>
      </c>
      <c r="G5" s="530">
        <f>200*3</f>
        <v>600</v>
      </c>
      <c r="H5" s="530">
        <f>200*4</f>
        <v>800</v>
      </c>
      <c r="I5" s="530">
        <f>200*4</f>
        <v>800</v>
      </c>
      <c r="J5" s="530">
        <f>150*4</f>
        <v>600</v>
      </c>
      <c r="K5" s="530">
        <f>150*4</f>
        <v>600</v>
      </c>
      <c r="L5" s="530">
        <f>150*4</f>
        <v>600</v>
      </c>
    </row>
    <row r="6" spans="1:12" ht="18" customHeight="1" x14ac:dyDescent="0.3">
      <c r="A6" s="587" t="s">
        <v>356</v>
      </c>
      <c r="B6" s="588">
        <v>200</v>
      </c>
      <c r="C6" s="588">
        <v>200</v>
      </c>
      <c r="D6" s="588">
        <v>200</v>
      </c>
      <c r="E6" s="588">
        <v>200</v>
      </c>
      <c r="F6" s="589">
        <v>200</v>
      </c>
      <c r="G6" s="589">
        <v>200</v>
      </c>
      <c r="H6" s="589">
        <v>200</v>
      </c>
      <c r="I6" s="589">
        <v>250</v>
      </c>
      <c r="J6" s="589">
        <v>300</v>
      </c>
      <c r="K6" s="589">
        <v>300</v>
      </c>
      <c r="L6" s="589">
        <v>300</v>
      </c>
    </row>
    <row r="7" spans="1:12" ht="18" hidden="1" customHeight="1" x14ac:dyDescent="0.3">
      <c r="A7" s="50" t="s">
        <v>299</v>
      </c>
      <c r="B7" s="57"/>
      <c r="C7" s="57">
        <v>30</v>
      </c>
      <c r="D7" s="57">
        <v>30</v>
      </c>
      <c r="E7" s="449"/>
      <c r="F7" s="533"/>
      <c r="G7" s="533"/>
      <c r="H7" s="533"/>
      <c r="I7" s="533"/>
      <c r="J7" s="533"/>
      <c r="K7" s="533"/>
      <c r="L7" s="533"/>
    </row>
    <row r="8" spans="1:12" ht="18" hidden="1" customHeight="1" x14ac:dyDescent="0.3">
      <c r="A8" s="59" t="s">
        <v>41</v>
      </c>
      <c r="B8" s="57">
        <v>100</v>
      </c>
      <c r="C8" s="57">
        <v>125</v>
      </c>
      <c r="D8" s="57">
        <v>125</v>
      </c>
      <c r="E8" s="449"/>
      <c r="F8" s="533"/>
      <c r="G8" s="533"/>
      <c r="H8" s="533"/>
      <c r="I8" s="533"/>
      <c r="J8" s="533"/>
      <c r="K8" s="533"/>
      <c r="L8" s="533"/>
    </row>
    <row r="9" spans="1:12" ht="18" hidden="1" customHeight="1" x14ac:dyDescent="0.3">
      <c r="A9" s="50" t="s">
        <v>21</v>
      </c>
      <c r="B9" s="57">
        <v>75</v>
      </c>
      <c r="C9" s="57">
        <v>75</v>
      </c>
      <c r="D9" s="57">
        <v>75</v>
      </c>
      <c r="E9" s="449"/>
      <c r="F9" s="533"/>
      <c r="G9" s="533"/>
      <c r="H9" s="533"/>
      <c r="I9" s="533"/>
      <c r="J9" s="533"/>
      <c r="K9" s="533"/>
      <c r="L9" s="533"/>
    </row>
    <row r="10" spans="1:12" ht="18" customHeight="1" x14ac:dyDescent="0.3">
      <c r="A10" s="59" t="s">
        <v>381</v>
      </c>
      <c r="B10" s="45">
        <v>440</v>
      </c>
      <c r="C10" s="45">
        <v>234</v>
      </c>
      <c r="D10" s="45">
        <v>234</v>
      </c>
      <c r="E10" s="402">
        <v>234</v>
      </c>
      <c r="F10" s="522">
        <v>275</v>
      </c>
      <c r="G10" s="522">
        <v>289</v>
      </c>
      <c r="H10" s="522">
        <v>264</v>
      </c>
      <c r="I10" s="522">
        <v>264</v>
      </c>
      <c r="J10" s="522">
        <v>300</v>
      </c>
      <c r="K10" s="522">
        <v>300</v>
      </c>
      <c r="L10" s="522">
        <v>300</v>
      </c>
    </row>
    <row r="11" spans="1:12" ht="18" customHeight="1" x14ac:dyDescent="0.3">
      <c r="A11" s="50" t="s">
        <v>595</v>
      </c>
      <c r="B11" s="57">
        <v>200</v>
      </c>
      <c r="C11" s="57">
        <v>200</v>
      </c>
      <c r="D11" s="57">
        <v>200</v>
      </c>
      <c r="E11" s="449">
        <v>200</v>
      </c>
      <c r="F11" s="533">
        <v>200</v>
      </c>
      <c r="G11" s="533">
        <v>200</v>
      </c>
      <c r="H11" s="533">
        <v>200</v>
      </c>
      <c r="I11" s="533">
        <v>250</v>
      </c>
      <c r="J11" s="533">
        <v>250</v>
      </c>
      <c r="K11" s="533">
        <v>250</v>
      </c>
      <c r="L11" s="533">
        <v>250</v>
      </c>
    </row>
    <row r="12" spans="1:12" ht="18" customHeight="1" x14ac:dyDescent="0.3">
      <c r="A12" s="50" t="s">
        <v>596</v>
      </c>
      <c r="B12" s="57"/>
      <c r="C12" s="57">
        <v>85</v>
      </c>
      <c r="D12" s="57">
        <v>85</v>
      </c>
      <c r="E12" s="449">
        <v>90</v>
      </c>
      <c r="F12" s="533">
        <v>90</v>
      </c>
      <c r="G12" s="533">
        <v>90</v>
      </c>
      <c r="H12" s="533">
        <v>90</v>
      </c>
      <c r="I12" s="533">
        <v>180</v>
      </c>
      <c r="J12" s="533">
        <v>180</v>
      </c>
      <c r="K12" s="533">
        <v>180</v>
      </c>
      <c r="L12" s="533">
        <v>180</v>
      </c>
    </row>
    <row r="13" spans="1:12" ht="18" customHeight="1" x14ac:dyDescent="0.3">
      <c r="A13" s="50" t="s">
        <v>549</v>
      </c>
      <c r="B13" s="57">
        <v>150</v>
      </c>
      <c r="C13" s="57">
        <v>165</v>
      </c>
      <c r="D13" s="57">
        <v>1165</v>
      </c>
      <c r="E13" s="449">
        <v>1165</v>
      </c>
      <c r="F13" s="533">
        <v>165</v>
      </c>
      <c r="G13" s="533">
        <v>165</v>
      </c>
      <c r="H13" s="533">
        <v>195</v>
      </c>
      <c r="I13" s="533">
        <v>195</v>
      </c>
      <c r="J13" s="533">
        <v>195</v>
      </c>
      <c r="K13" s="533"/>
      <c r="L13" s="533"/>
    </row>
    <row r="14" spans="1:12" ht="18" customHeight="1" x14ac:dyDescent="0.3">
      <c r="A14" s="50" t="s">
        <v>296</v>
      </c>
      <c r="B14" s="57"/>
      <c r="C14" s="57">
        <v>350</v>
      </c>
      <c r="D14" s="57">
        <v>350</v>
      </c>
      <c r="E14" s="449">
        <v>350</v>
      </c>
      <c r="F14" s="533">
        <v>500</v>
      </c>
      <c r="G14" s="533">
        <v>500</v>
      </c>
      <c r="H14" s="533">
        <v>400</v>
      </c>
      <c r="I14" s="533">
        <v>375</v>
      </c>
      <c r="J14" s="533">
        <v>375</v>
      </c>
      <c r="K14" s="533">
        <v>375</v>
      </c>
      <c r="L14" s="533">
        <v>350</v>
      </c>
    </row>
    <row r="15" spans="1:12" ht="18" customHeight="1" x14ac:dyDescent="0.3">
      <c r="A15" s="50" t="s">
        <v>258</v>
      </c>
      <c r="B15" s="57">
        <v>1000</v>
      </c>
      <c r="C15" s="57">
        <v>1000</v>
      </c>
      <c r="D15" s="57">
        <v>1000</v>
      </c>
      <c r="E15" s="449">
        <v>1100</v>
      </c>
      <c r="F15" s="533">
        <v>1250</v>
      </c>
      <c r="G15" s="533">
        <v>1250</v>
      </c>
      <c r="H15" s="533">
        <v>1400</v>
      </c>
      <c r="I15" s="533">
        <v>1400</v>
      </c>
      <c r="J15" s="533">
        <v>1400</v>
      </c>
      <c r="K15" s="533">
        <v>1400</v>
      </c>
      <c r="L15" s="533">
        <v>1400</v>
      </c>
    </row>
    <row r="16" spans="1:12" ht="18" customHeight="1" x14ac:dyDescent="0.3">
      <c r="A16" s="50" t="s">
        <v>505</v>
      </c>
      <c r="B16" s="57">
        <v>175</v>
      </c>
      <c r="C16" s="57">
        <v>105</v>
      </c>
      <c r="D16" s="57">
        <f>4*35</f>
        <v>140</v>
      </c>
      <c r="E16" s="449">
        <f>4*35</f>
        <v>140</v>
      </c>
      <c r="F16" s="533">
        <f>(5*55)+55</f>
        <v>330</v>
      </c>
      <c r="G16" s="533">
        <f>(5*55)+((4*55)+110)</f>
        <v>605</v>
      </c>
      <c r="H16" s="533">
        <f>(4*55)+((4*60)+120)</f>
        <v>580</v>
      </c>
      <c r="I16" s="533">
        <f>(4*55)+((4*60)+120)</f>
        <v>580</v>
      </c>
      <c r="J16" s="533">
        <f>(4*55)+((4*60)+120)</f>
        <v>580</v>
      </c>
      <c r="K16" s="533">
        <f>(100+(3*40))+(120+(8*60))</f>
        <v>820</v>
      </c>
      <c r="L16" s="533">
        <f>(100+(3*40))+(120+(8*60))</f>
        <v>820</v>
      </c>
    </row>
    <row r="17" spans="1:12" ht="18" customHeight="1" x14ac:dyDescent="0.3">
      <c r="A17" s="48" t="s">
        <v>202</v>
      </c>
      <c r="B17" s="57">
        <v>75</v>
      </c>
      <c r="C17" s="57">
        <v>75</v>
      </c>
      <c r="D17" s="57">
        <v>75</v>
      </c>
      <c r="E17" s="449">
        <v>75</v>
      </c>
      <c r="F17" s="533">
        <v>75</v>
      </c>
      <c r="G17" s="533">
        <v>75</v>
      </c>
      <c r="H17" s="533">
        <v>75</v>
      </c>
      <c r="I17" s="533">
        <v>75</v>
      </c>
      <c r="J17" s="533">
        <v>75</v>
      </c>
      <c r="K17" s="533">
        <v>75</v>
      </c>
      <c r="L17" s="533">
        <v>75</v>
      </c>
    </row>
    <row r="18" spans="1:12" ht="18" customHeight="1" x14ac:dyDescent="0.3">
      <c r="A18" s="48" t="s">
        <v>630</v>
      </c>
      <c r="B18" s="57">
        <v>100</v>
      </c>
      <c r="C18" s="57">
        <v>200</v>
      </c>
      <c r="D18" s="57">
        <v>200</v>
      </c>
      <c r="E18" s="449">
        <v>200</v>
      </c>
      <c r="F18" s="533">
        <v>300</v>
      </c>
      <c r="G18" s="533">
        <f>150+(100*2)</f>
        <v>350</v>
      </c>
      <c r="H18" s="533">
        <f>150+(100*3)</f>
        <v>450</v>
      </c>
      <c r="I18" s="533">
        <f>150+(50*3)</f>
        <v>300</v>
      </c>
      <c r="J18" s="533">
        <v>802</v>
      </c>
      <c r="K18" s="533">
        <v>820</v>
      </c>
      <c r="L18" s="533">
        <v>906</v>
      </c>
    </row>
    <row r="19" spans="1:12" ht="18" hidden="1" customHeight="1" x14ac:dyDescent="0.3">
      <c r="A19" s="48" t="s">
        <v>382</v>
      </c>
      <c r="B19" s="57"/>
      <c r="C19" s="57">
        <v>22</v>
      </c>
      <c r="D19" s="57">
        <v>22</v>
      </c>
      <c r="E19" s="449"/>
      <c r="F19" s="533"/>
      <c r="G19" s="533"/>
      <c r="H19" s="533"/>
      <c r="I19" s="533"/>
      <c r="J19" s="533"/>
      <c r="K19" s="533"/>
      <c r="L19" s="533"/>
    </row>
    <row r="20" spans="1:12" ht="18" hidden="1" customHeight="1" x14ac:dyDescent="0.3">
      <c r="A20" s="48" t="s">
        <v>380</v>
      </c>
      <c r="B20" s="57"/>
      <c r="C20" s="57"/>
      <c r="D20" s="57"/>
      <c r="E20" s="449">
        <v>50</v>
      </c>
      <c r="F20" s="533">
        <v>50</v>
      </c>
      <c r="G20" s="533">
        <v>75</v>
      </c>
      <c r="H20" s="533">
        <v>50</v>
      </c>
      <c r="I20" s="533">
        <v>0</v>
      </c>
      <c r="J20" s="533">
        <v>0</v>
      </c>
      <c r="K20" s="533"/>
      <c r="L20" s="533"/>
    </row>
    <row r="21" spans="1:12" ht="18" customHeight="1" x14ac:dyDescent="0.3">
      <c r="A21" s="48"/>
      <c r="B21" s="57"/>
      <c r="C21" s="57"/>
      <c r="D21" s="57"/>
      <c r="E21" s="449"/>
      <c r="F21" s="533"/>
      <c r="G21" s="533"/>
      <c r="H21" s="533"/>
      <c r="I21" s="533"/>
      <c r="J21" s="533"/>
      <c r="K21" s="533"/>
      <c r="L21" s="533"/>
    </row>
    <row r="22" spans="1:12" ht="18" customHeight="1" x14ac:dyDescent="0.3">
      <c r="A22" s="590"/>
      <c r="B22" s="591">
        <v>-700</v>
      </c>
      <c r="C22" s="591"/>
      <c r="D22" s="591"/>
      <c r="E22" s="592"/>
      <c r="F22" s="593"/>
      <c r="G22" s="593"/>
      <c r="H22" s="593"/>
      <c r="I22" s="593"/>
      <c r="J22" s="593"/>
      <c r="K22" s="593"/>
      <c r="L22" s="593"/>
    </row>
    <row r="23" spans="1:12" ht="18" customHeight="1" x14ac:dyDescent="0.3">
      <c r="A23" s="594" t="s">
        <v>84</v>
      </c>
      <c r="B23" s="340">
        <f>SUM(B4:B22)</f>
        <v>1890</v>
      </c>
      <c r="C23" s="340">
        <f>SUM(C4:C22)</f>
        <v>3066</v>
      </c>
      <c r="D23" s="340">
        <f>SUM(D4:D22)</f>
        <v>4101</v>
      </c>
      <c r="E23" s="340">
        <f t="shared" ref="E23:J23" si="0">SUM(E5:E22)</f>
        <v>4004</v>
      </c>
      <c r="F23" s="595">
        <f t="shared" si="0"/>
        <v>3735</v>
      </c>
      <c r="G23" s="595">
        <f t="shared" si="0"/>
        <v>4399</v>
      </c>
      <c r="H23" s="595">
        <f t="shared" si="0"/>
        <v>4704</v>
      </c>
      <c r="I23" s="595">
        <f t="shared" si="0"/>
        <v>4669</v>
      </c>
      <c r="J23" s="595">
        <f t="shared" si="0"/>
        <v>5057</v>
      </c>
      <c r="K23" s="595">
        <f>SUM(K5:K22)</f>
        <v>5120</v>
      </c>
      <c r="L23" s="595">
        <f>SUM(L5:L22)</f>
        <v>5181</v>
      </c>
    </row>
    <row r="24" spans="1:12" s="42" customFormat="1" ht="22.5" customHeight="1" x14ac:dyDescent="0.3">
      <c r="A24" s="93"/>
      <c r="B24" s="41"/>
      <c r="C24" s="24"/>
      <c r="D24" s="24"/>
      <c r="E24" s="24"/>
      <c r="F24" s="24"/>
      <c r="G24" s="24"/>
      <c r="H24" s="24"/>
      <c r="I24" s="24"/>
    </row>
    <row r="25" spans="1:12" ht="18.75" customHeight="1" x14ac:dyDescent="0.3">
      <c r="A25" s="16"/>
    </row>
    <row r="26" spans="1:12" ht="18.75" customHeight="1" x14ac:dyDescent="0.3">
      <c r="A26" s="195"/>
    </row>
    <row r="27" spans="1:12" ht="18.75" customHeight="1" x14ac:dyDescent="0.3">
      <c r="A27" s="195"/>
    </row>
  </sheetData>
  <sortState ref="A5:F24">
    <sortCondition ref="A5"/>
  </sortState>
  <phoneticPr fontId="18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8.28515625" style="93" bestFit="1" customWidth="1"/>
    <col min="2" max="2" width="11.7109375" style="41" hidden="1" customWidth="1"/>
    <col min="3" max="4" width="11.7109375" style="24" hidden="1" customWidth="1"/>
    <col min="5" max="8" width="11.42578125" style="24" hidden="1" customWidth="1"/>
    <col min="9" max="9" width="0" style="24" hidden="1" customWidth="1"/>
    <col min="10" max="16384" width="9.140625" style="24"/>
  </cols>
  <sheetData>
    <row r="1" spans="1:12" s="158" customFormat="1" ht="18.75" customHeight="1" x14ac:dyDescent="0.3">
      <c r="A1" s="175" t="s">
        <v>418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2.75" customHeight="1" x14ac:dyDescent="0.3">
      <c r="A2" s="9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42" customFormat="1" ht="18.75" customHeight="1" x14ac:dyDescent="0.3">
      <c r="A3" s="37" t="s">
        <v>86</v>
      </c>
      <c r="B3" s="95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s="119" customFormat="1" ht="18.75" customHeight="1" x14ac:dyDescent="0.3">
      <c r="A4" s="97"/>
      <c r="B4" s="126"/>
      <c r="C4" s="126"/>
      <c r="D4" s="126"/>
      <c r="E4" s="126"/>
      <c r="F4" s="528"/>
      <c r="G4" s="528"/>
      <c r="H4" s="528"/>
      <c r="I4" s="528"/>
      <c r="J4" s="528"/>
      <c r="K4" s="528"/>
      <c r="L4" s="528"/>
    </row>
    <row r="5" spans="1:12" ht="18" hidden="1" customHeight="1" x14ac:dyDescent="0.3">
      <c r="A5" s="137" t="s">
        <v>0</v>
      </c>
      <c r="B5" s="101">
        <v>300</v>
      </c>
      <c r="C5" s="101">
        <v>500</v>
      </c>
      <c r="D5" s="101">
        <v>500</v>
      </c>
      <c r="E5" s="101">
        <v>500</v>
      </c>
      <c r="F5" s="522">
        <v>500</v>
      </c>
      <c r="G5" s="522">
        <v>0</v>
      </c>
      <c r="H5" s="522">
        <v>0</v>
      </c>
      <c r="I5" s="522"/>
      <c r="J5" s="522"/>
      <c r="K5" s="522"/>
      <c r="L5" s="522"/>
    </row>
    <row r="6" spans="1:12" ht="18" customHeight="1" x14ac:dyDescent="0.3">
      <c r="A6" s="137" t="s">
        <v>670</v>
      </c>
      <c r="B6" s="101">
        <v>300</v>
      </c>
      <c r="C6" s="101">
        <v>250</v>
      </c>
      <c r="D6" s="101">
        <v>0</v>
      </c>
      <c r="E6" s="101">
        <f>50*12</f>
        <v>600</v>
      </c>
      <c r="F6" s="522">
        <f>75*12</f>
        <v>900</v>
      </c>
      <c r="G6" s="522">
        <f>50*12</f>
        <v>600</v>
      </c>
      <c r="H6" s="522">
        <f>30*12</f>
        <v>360</v>
      </c>
      <c r="I6" s="522">
        <f>40*12</f>
        <v>480</v>
      </c>
      <c r="J6" s="522">
        <f>40*12</f>
        <v>480</v>
      </c>
      <c r="K6" s="522">
        <v>800</v>
      </c>
      <c r="L6" s="522">
        <f>99*12</f>
        <v>1188</v>
      </c>
    </row>
    <row r="7" spans="1:12" ht="18" hidden="1" customHeight="1" x14ac:dyDescent="0.3">
      <c r="A7" s="306" t="s">
        <v>429</v>
      </c>
      <c r="B7" s="307">
        <v>15000</v>
      </c>
      <c r="C7" s="307">
        <v>7200</v>
      </c>
      <c r="D7" s="307">
        <v>7500</v>
      </c>
      <c r="E7" s="307">
        <v>7500</v>
      </c>
      <c r="F7" s="565">
        <v>0</v>
      </c>
      <c r="G7" s="565">
        <v>0</v>
      </c>
      <c r="H7" s="565">
        <v>0</v>
      </c>
      <c r="I7" s="565"/>
      <c r="J7" s="565"/>
      <c r="K7" s="565"/>
      <c r="L7" s="565"/>
    </row>
    <row r="8" spans="1:12" ht="18" customHeight="1" x14ac:dyDescent="0.3">
      <c r="A8" s="137" t="s">
        <v>534</v>
      </c>
      <c r="B8" s="101">
        <v>850</v>
      </c>
      <c r="C8" s="101">
        <v>900</v>
      </c>
      <c r="D8" s="101">
        <v>1000</v>
      </c>
      <c r="E8" s="101">
        <v>895</v>
      </c>
      <c r="F8" s="522">
        <v>950</v>
      </c>
      <c r="G8" s="522">
        <v>1000</v>
      </c>
      <c r="H8" s="522">
        <f>1000+500</f>
        <v>1500</v>
      </c>
      <c r="I8" s="522">
        <f>3800</f>
        <v>3800</v>
      </c>
      <c r="J8" s="522">
        <f>3340+995-995+425+60+300</f>
        <v>4125</v>
      </c>
      <c r="K8" s="522">
        <f>3340+995-995+425+60+300</f>
        <v>4125</v>
      </c>
      <c r="L8" s="522">
        <f>3340+995-995+425+60+300</f>
        <v>4125</v>
      </c>
    </row>
    <row r="9" spans="1:12" ht="18" customHeight="1" x14ac:dyDescent="0.3">
      <c r="A9" s="137" t="s">
        <v>535</v>
      </c>
      <c r="B9" s="101"/>
      <c r="C9" s="101"/>
      <c r="D9" s="101"/>
      <c r="E9" s="101"/>
      <c r="F9" s="522"/>
      <c r="G9" s="522"/>
      <c r="H9" s="522"/>
      <c r="I9" s="522">
        <v>2020</v>
      </c>
      <c r="J9" s="522">
        <v>2200</v>
      </c>
      <c r="K9" s="522">
        <v>2200</v>
      </c>
      <c r="L9" s="522">
        <v>2200</v>
      </c>
    </row>
    <row r="10" spans="1:12" ht="18" customHeight="1" x14ac:dyDescent="0.3">
      <c r="A10" s="306" t="s">
        <v>358</v>
      </c>
      <c r="B10" s="307"/>
      <c r="C10" s="307">
        <v>2400</v>
      </c>
      <c r="D10" s="60">
        <f>60*75</f>
        <v>4500</v>
      </c>
      <c r="E10" s="60">
        <f>60*75</f>
        <v>4500</v>
      </c>
      <c r="F10" s="566">
        <f>66*75</f>
        <v>4950</v>
      </c>
      <c r="G10" s="566">
        <f>66*75</f>
        <v>4950</v>
      </c>
      <c r="H10" s="566">
        <f>66*75</f>
        <v>4950</v>
      </c>
      <c r="I10" s="566">
        <f>80*95</f>
        <v>7600</v>
      </c>
      <c r="J10" s="566">
        <f>80*95</f>
        <v>7600</v>
      </c>
      <c r="K10" s="566">
        <f>80*95</f>
        <v>7600</v>
      </c>
      <c r="L10" s="566">
        <f>80*95</f>
        <v>7600</v>
      </c>
    </row>
    <row r="11" spans="1:12" ht="18" customHeight="1" x14ac:dyDescent="0.3">
      <c r="A11" s="61" t="s">
        <v>536</v>
      </c>
      <c r="B11" s="101">
        <v>200</v>
      </c>
      <c r="C11" s="101">
        <v>400</v>
      </c>
      <c r="D11" s="101">
        <v>500</v>
      </c>
      <c r="E11" s="101">
        <v>500</v>
      </c>
      <c r="F11" s="522">
        <v>450</v>
      </c>
      <c r="G11" s="522">
        <v>1000</v>
      </c>
      <c r="H11" s="522">
        <v>1000</v>
      </c>
      <c r="I11" s="522">
        <v>850</v>
      </c>
      <c r="J11" s="522">
        <v>850</v>
      </c>
      <c r="K11" s="522">
        <v>850</v>
      </c>
      <c r="L11" s="522">
        <v>850</v>
      </c>
    </row>
    <row r="12" spans="1:12" ht="18" customHeight="1" x14ac:dyDescent="0.3">
      <c r="A12" s="61" t="s">
        <v>374</v>
      </c>
      <c r="B12" s="101">
        <v>1000</v>
      </c>
      <c r="C12" s="101">
        <v>2500</v>
      </c>
      <c r="D12" s="101">
        <v>1500</v>
      </c>
      <c r="E12" s="101">
        <f>650*2</f>
        <v>1300</v>
      </c>
      <c r="F12" s="522">
        <f>650*3</f>
        <v>1950</v>
      </c>
      <c r="G12" s="522">
        <f>675*6</f>
        <v>4050</v>
      </c>
      <c r="H12" s="522">
        <f>775*4</f>
        <v>3100</v>
      </c>
      <c r="I12" s="522">
        <f>775*4</f>
        <v>3100</v>
      </c>
      <c r="J12" s="522">
        <f>775*4</f>
        <v>3100</v>
      </c>
      <c r="K12" s="522">
        <f>900*6</f>
        <v>5400</v>
      </c>
      <c r="L12" s="522">
        <f>1000*10</f>
        <v>10000</v>
      </c>
    </row>
    <row r="13" spans="1:12" ht="18" customHeight="1" x14ac:dyDescent="0.3">
      <c r="A13" s="306" t="s">
        <v>326</v>
      </c>
      <c r="B13" s="307"/>
      <c r="C13" s="307">
        <v>250</v>
      </c>
      <c r="D13" s="307">
        <v>300</v>
      </c>
      <c r="E13" s="307">
        <v>300</v>
      </c>
      <c r="F13" s="565">
        <v>300</v>
      </c>
      <c r="G13" s="565">
        <v>300</v>
      </c>
      <c r="H13" s="565">
        <v>350</v>
      </c>
      <c r="I13" s="565">
        <v>425</v>
      </c>
      <c r="J13" s="565">
        <v>425</v>
      </c>
      <c r="K13" s="565">
        <v>450</v>
      </c>
      <c r="L13" s="565">
        <v>450</v>
      </c>
    </row>
    <row r="14" spans="1:12" ht="18" customHeight="1" x14ac:dyDescent="0.3">
      <c r="A14" s="61" t="s">
        <v>324</v>
      </c>
      <c r="B14" s="101">
        <v>1000</v>
      </c>
      <c r="C14" s="101">
        <v>200</v>
      </c>
      <c r="D14" s="101">
        <v>2500</v>
      </c>
      <c r="E14" s="101">
        <v>2500</v>
      </c>
      <c r="F14" s="522">
        <v>2500</v>
      </c>
      <c r="G14" s="522">
        <v>2500</v>
      </c>
      <c r="H14" s="522">
        <v>2500</v>
      </c>
      <c r="I14" s="522">
        <v>2500</v>
      </c>
      <c r="J14" s="522">
        <v>2500</v>
      </c>
      <c r="K14" s="522">
        <v>2500</v>
      </c>
      <c r="L14" s="522">
        <v>2000</v>
      </c>
    </row>
    <row r="15" spans="1:12" ht="18" customHeight="1" x14ac:dyDescent="0.3">
      <c r="A15" s="61" t="s">
        <v>325</v>
      </c>
      <c r="B15" s="101">
        <v>500</v>
      </c>
      <c r="C15" s="101">
        <v>500</v>
      </c>
      <c r="D15" s="101">
        <v>500</v>
      </c>
      <c r="E15" s="101">
        <v>500</v>
      </c>
      <c r="F15" s="522">
        <v>600</v>
      </c>
      <c r="G15" s="522">
        <v>600</v>
      </c>
      <c r="H15" s="522">
        <v>600</v>
      </c>
      <c r="I15" s="522">
        <v>600</v>
      </c>
      <c r="J15" s="522">
        <v>600</v>
      </c>
      <c r="K15" s="522">
        <v>600</v>
      </c>
      <c r="L15" s="522">
        <v>600</v>
      </c>
    </row>
    <row r="16" spans="1:12" ht="18" customHeight="1" x14ac:dyDescent="0.3">
      <c r="A16" s="352" t="s">
        <v>500</v>
      </c>
      <c r="B16" s="60"/>
      <c r="C16" s="60">
        <v>8000</v>
      </c>
      <c r="D16" s="60">
        <v>1000</v>
      </c>
      <c r="E16" s="60">
        <v>500</v>
      </c>
      <c r="F16" s="566">
        <v>500</v>
      </c>
      <c r="G16" s="566">
        <v>500</v>
      </c>
      <c r="H16" s="566">
        <v>500</v>
      </c>
      <c r="I16" s="566">
        <v>500</v>
      </c>
      <c r="J16" s="566">
        <v>500</v>
      </c>
      <c r="K16" s="566">
        <v>500</v>
      </c>
      <c r="L16" s="566">
        <v>500</v>
      </c>
    </row>
    <row r="17" spans="1:12" ht="18" hidden="1" customHeight="1" x14ac:dyDescent="0.3">
      <c r="A17" s="353" t="s">
        <v>208</v>
      </c>
      <c r="B17" s="101">
        <v>200</v>
      </c>
      <c r="C17" s="101">
        <v>200</v>
      </c>
      <c r="D17" s="101">
        <v>200</v>
      </c>
      <c r="E17" s="101"/>
      <c r="F17" s="522"/>
      <c r="G17" s="522"/>
      <c r="H17" s="522"/>
      <c r="I17" s="522"/>
      <c r="J17" s="522"/>
      <c r="K17" s="522"/>
      <c r="L17" s="522"/>
    </row>
    <row r="18" spans="1:12" ht="18" hidden="1" customHeight="1" x14ac:dyDescent="0.3">
      <c r="A18" s="306" t="s">
        <v>367</v>
      </c>
      <c r="B18" s="307"/>
      <c r="C18" s="307"/>
      <c r="D18" s="307"/>
      <c r="E18" s="307">
        <f>3500</f>
        <v>3500</v>
      </c>
      <c r="F18" s="565"/>
      <c r="G18" s="565"/>
      <c r="H18" s="565"/>
      <c r="I18" s="565"/>
      <c r="J18" s="565"/>
      <c r="K18" s="565"/>
      <c r="L18" s="565"/>
    </row>
    <row r="19" spans="1:12" ht="18" customHeight="1" x14ac:dyDescent="0.3">
      <c r="A19" s="306" t="s">
        <v>537</v>
      </c>
      <c r="B19" s="307"/>
      <c r="C19" s="307"/>
      <c r="D19" s="307"/>
      <c r="E19" s="60">
        <f>1000*2</f>
        <v>2000</v>
      </c>
      <c r="F19" s="566">
        <v>1000</v>
      </c>
      <c r="G19" s="566">
        <v>1000</v>
      </c>
      <c r="H19" s="566">
        <v>600</v>
      </c>
      <c r="I19" s="566">
        <v>1500</v>
      </c>
      <c r="J19" s="566">
        <v>1800</v>
      </c>
      <c r="K19" s="566">
        <v>0</v>
      </c>
      <c r="L19" s="566">
        <v>2000</v>
      </c>
    </row>
    <row r="20" spans="1:12" ht="18" customHeight="1" x14ac:dyDescent="0.3">
      <c r="A20" s="306" t="s">
        <v>669</v>
      </c>
      <c r="B20" s="307"/>
      <c r="C20" s="307"/>
      <c r="D20" s="307"/>
      <c r="E20" s="307"/>
      <c r="F20" s="565">
        <f>(5*300)+(3*150)+(2*149)+(7*99)+9</f>
        <v>2950</v>
      </c>
      <c r="G20" s="565">
        <v>0</v>
      </c>
      <c r="H20" s="565">
        <v>750</v>
      </c>
      <c r="I20" s="565"/>
      <c r="J20" s="565"/>
      <c r="K20" s="565"/>
      <c r="L20" s="565">
        <f>1500*5</f>
        <v>7500</v>
      </c>
    </row>
    <row r="21" spans="1:12" ht="18" hidden="1" customHeight="1" x14ac:dyDescent="0.3">
      <c r="A21" s="306" t="s">
        <v>455</v>
      </c>
      <c r="B21" s="307"/>
      <c r="C21" s="307"/>
      <c r="D21" s="307"/>
      <c r="E21" s="307"/>
      <c r="F21" s="565">
        <f>250</f>
        <v>250</v>
      </c>
      <c r="G21" s="565">
        <v>0</v>
      </c>
      <c r="H21" s="565">
        <v>0</v>
      </c>
      <c r="I21" s="565"/>
      <c r="J21" s="565"/>
      <c r="K21" s="565"/>
      <c r="L21" s="565"/>
    </row>
    <row r="22" spans="1:12" ht="18" customHeight="1" x14ac:dyDescent="0.3">
      <c r="A22" s="306" t="s">
        <v>501</v>
      </c>
      <c r="B22" s="307"/>
      <c r="C22" s="307"/>
      <c r="D22" s="307"/>
      <c r="E22" s="307"/>
      <c r="F22" s="565">
        <v>0</v>
      </c>
      <c r="G22" s="565">
        <v>0</v>
      </c>
      <c r="H22" s="565">
        <f>140*12</f>
        <v>1680</v>
      </c>
      <c r="I22" s="565">
        <f>175*12</f>
        <v>2100</v>
      </c>
      <c r="J22" s="565">
        <f>175*12</f>
        <v>2100</v>
      </c>
      <c r="K22" s="565">
        <f>175*12</f>
        <v>2100</v>
      </c>
      <c r="L22" s="565">
        <f>175*12</f>
        <v>2100</v>
      </c>
    </row>
    <row r="23" spans="1:12" ht="18" hidden="1" customHeight="1" x14ac:dyDescent="0.3">
      <c r="A23" s="306" t="s">
        <v>538</v>
      </c>
      <c r="B23" s="707"/>
      <c r="C23" s="707"/>
      <c r="D23" s="707"/>
      <c r="E23" s="707"/>
      <c r="F23" s="708">
        <v>0</v>
      </c>
      <c r="G23" s="708">
        <v>0</v>
      </c>
      <c r="H23" s="708">
        <f>8.75*35*12</f>
        <v>3675</v>
      </c>
      <c r="I23" s="708"/>
      <c r="J23" s="708"/>
      <c r="K23" s="708"/>
      <c r="L23" s="708"/>
    </row>
    <row r="24" spans="1:12" ht="18" customHeight="1" x14ac:dyDescent="0.3">
      <c r="A24" s="306" t="s">
        <v>502</v>
      </c>
      <c r="B24" s="707"/>
      <c r="C24" s="707"/>
      <c r="D24" s="707"/>
      <c r="E24" s="707"/>
      <c r="F24" s="708">
        <v>0</v>
      </c>
      <c r="G24" s="708">
        <v>0</v>
      </c>
      <c r="H24" s="708">
        <f>9*64*12</f>
        <v>6912</v>
      </c>
      <c r="I24" s="708">
        <f>512*12</f>
        <v>6144</v>
      </c>
      <c r="J24" s="708">
        <f>64*9</f>
        <v>576</v>
      </c>
      <c r="K24" s="708">
        <f>64*9</f>
        <v>576</v>
      </c>
      <c r="L24" s="708">
        <f>64*9</f>
        <v>576</v>
      </c>
    </row>
    <row r="25" spans="1:12" ht="18" customHeight="1" x14ac:dyDescent="0.3">
      <c r="A25" s="306" t="s">
        <v>653</v>
      </c>
      <c r="B25" s="707"/>
      <c r="C25" s="707"/>
      <c r="D25" s="707"/>
      <c r="E25" s="707"/>
      <c r="F25" s="708"/>
      <c r="G25" s="708"/>
      <c r="H25" s="708"/>
      <c r="I25" s="708"/>
      <c r="J25" s="708">
        <v>14000</v>
      </c>
      <c r="K25" s="708">
        <f>3500*3</f>
        <v>10500</v>
      </c>
      <c r="L25" s="708">
        <v>0</v>
      </c>
    </row>
    <row r="26" spans="1:12" ht="18" customHeight="1" x14ac:dyDescent="0.3">
      <c r="A26" s="306" t="s">
        <v>661</v>
      </c>
      <c r="B26" s="707"/>
      <c r="C26" s="707"/>
      <c r="D26" s="707"/>
      <c r="E26" s="707"/>
      <c r="F26" s="708"/>
      <c r="G26" s="708"/>
      <c r="H26" s="708"/>
      <c r="I26" s="708"/>
      <c r="J26" s="708"/>
      <c r="K26" s="708"/>
      <c r="L26" s="708">
        <v>944</v>
      </c>
    </row>
    <row r="27" spans="1:12" ht="18" customHeight="1" thickBot="1" x14ac:dyDescent="0.35">
      <c r="A27" s="355"/>
      <c r="B27" s="354">
        <v>-8000</v>
      </c>
      <c r="C27" s="354"/>
      <c r="D27" s="354"/>
      <c r="E27" s="354"/>
      <c r="F27" s="567"/>
      <c r="G27" s="567"/>
      <c r="H27" s="567"/>
      <c r="I27" s="567"/>
      <c r="J27" s="567"/>
      <c r="K27" s="567"/>
      <c r="L27" s="567"/>
    </row>
    <row r="28" spans="1:12" ht="18" customHeight="1" x14ac:dyDescent="0.3">
      <c r="A28" s="179" t="s">
        <v>76</v>
      </c>
      <c r="B28" s="330">
        <f t="shared" ref="B28:H28" si="0">SUM(B4:B27)</f>
        <v>11350</v>
      </c>
      <c r="C28" s="330">
        <f t="shared" si="0"/>
        <v>23300</v>
      </c>
      <c r="D28" s="330">
        <f t="shared" si="0"/>
        <v>20000</v>
      </c>
      <c r="E28" s="330">
        <f t="shared" si="0"/>
        <v>25095</v>
      </c>
      <c r="F28" s="568">
        <f t="shared" si="0"/>
        <v>17800</v>
      </c>
      <c r="G28" s="568">
        <f>SUM(G4:G27)</f>
        <v>16500</v>
      </c>
      <c r="H28" s="568">
        <f t="shared" si="0"/>
        <v>28477</v>
      </c>
      <c r="I28" s="568">
        <f>SUM(I4:I27)</f>
        <v>31619</v>
      </c>
      <c r="J28" s="568">
        <f>SUM(J4:J27)</f>
        <v>40856</v>
      </c>
      <c r="K28" s="568">
        <f>SUM(K4:K27)</f>
        <v>38201</v>
      </c>
      <c r="L28" s="568">
        <f>SUM(L4:L27)</f>
        <v>42633</v>
      </c>
    </row>
    <row r="29" spans="1:12" ht="18" customHeight="1" x14ac:dyDescent="0.3"/>
    <row r="30" spans="1:12" ht="18" customHeight="1" x14ac:dyDescent="0.3">
      <c r="A30" s="24"/>
      <c r="B30" s="24"/>
    </row>
    <row r="31" spans="1:12" ht="18" customHeight="1" x14ac:dyDescent="0.3">
      <c r="A31" s="24"/>
      <c r="B31" s="24"/>
    </row>
    <row r="32" spans="1:12" s="42" customFormat="1" ht="20.25" customHeight="1" x14ac:dyDescent="0.3">
      <c r="A32" s="24"/>
      <c r="B32" s="24"/>
      <c r="C32" s="24"/>
      <c r="D32" s="24"/>
      <c r="E32" s="24"/>
      <c r="F32" s="24"/>
      <c r="G32" s="24"/>
      <c r="H32" s="24"/>
      <c r="I32" s="24"/>
    </row>
    <row r="33" spans="1:2" ht="18.75" customHeight="1" x14ac:dyDescent="0.3">
      <c r="A33" s="24"/>
      <c r="B33" s="24"/>
    </row>
    <row r="34" spans="1:2" ht="18.75" customHeight="1" x14ac:dyDescent="0.3">
      <c r="A34" s="24"/>
      <c r="B34" s="24"/>
    </row>
    <row r="35" spans="1:2" ht="18.75" customHeight="1" x14ac:dyDescent="0.3">
      <c r="A35" s="24"/>
      <c r="B35" s="24"/>
    </row>
    <row r="36" spans="1:2" ht="18" customHeight="1" x14ac:dyDescent="0.3">
      <c r="A36" s="24"/>
      <c r="B36" s="24"/>
    </row>
    <row r="37" spans="1:2" ht="18" customHeight="1" x14ac:dyDescent="0.3">
      <c r="A37" s="24"/>
      <c r="B37" s="24"/>
    </row>
    <row r="38" spans="1:2" ht="18" customHeight="1" x14ac:dyDescent="0.3">
      <c r="A38" s="24"/>
      <c r="B38" s="24"/>
    </row>
    <row r="39" spans="1:2" ht="18" customHeight="1" x14ac:dyDescent="0.3">
      <c r="A39" s="24"/>
      <c r="B39" s="24"/>
    </row>
    <row r="40" spans="1:2" ht="18" customHeight="1" x14ac:dyDescent="0.3">
      <c r="A40" s="24"/>
      <c r="B40" s="24"/>
    </row>
    <row r="41" spans="1:2" ht="18" customHeight="1" x14ac:dyDescent="0.3">
      <c r="A41" s="24"/>
      <c r="B41" s="24"/>
    </row>
    <row r="42" spans="1:2" ht="18" customHeight="1" x14ac:dyDescent="0.3">
      <c r="A42" s="24"/>
      <c r="B42" s="24"/>
    </row>
    <row r="43" spans="1:2" ht="18" customHeight="1" x14ac:dyDescent="0.3">
      <c r="A43" s="24"/>
      <c r="B43" s="24"/>
    </row>
    <row r="44" spans="1:2" ht="18" customHeight="1" x14ac:dyDescent="0.3">
      <c r="A44" s="24"/>
      <c r="B44" s="24"/>
    </row>
    <row r="45" spans="1:2" ht="18" customHeight="1" x14ac:dyDescent="0.3">
      <c r="A45" s="24"/>
      <c r="B45" s="24"/>
    </row>
    <row r="46" spans="1:2" ht="18" customHeight="1" x14ac:dyDescent="0.3">
      <c r="A46" s="24"/>
      <c r="B46" s="24"/>
    </row>
    <row r="47" spans="1:2" ht="18" customHeight="1" x14ac:dyDescent="0.3">
      <c r="A47" s="24"/>
      <c r="B47" s="24"/>
    </row>
    <row r="48" spans="1:2" ht="18" customHeight="1" x14ac:dyDescent="0.3">
      <c r="A48" s="24"/>
      <c r="B48" s="24"/>
    </row>
    <row r="49" spans="1:2" ht="18" customHeight="1" x14ac:dyDescent="0.3">
      <c r="A49" s="24"/>
      <c r="B49" s="24"/>
    </row>
    <row r="50" spans="1:2" ht="18" customHeight="1" x14ac:dyDescent="0.3">
      <c r="A50" s="24"/>
      <c r="B50" s="24"/>
    </row>
    <row r="51" spans="1:2" ht="18" customHeight="1" x14ac:dyDescent="0.3">
      <c r="A51" s="24"/>
      <c r="B51" s="24"/>
    </row>
    <row r="52" spans="1:2" ht="18" customHeight="1" x14ac:dyDescent="0.3">
      <c r="A52" s="24"/>
      <c r="B52" s="24"/>
    </row>
    <row r="53" spans="1:2" ht="18" customHeight="1" x14ac:dyDescent="0.3">
      <c r="A53" s="24"/>
      <c r="B53" s="24"/>
    </row>
    <row r="54" spans="1:2" ht="18" customHeight="1" x14ac:dyDescent="0.3">
      <c r="A54" s="24"/>
      <c r="B54" s="24"/>
    </row>
    <row r="55" spans="1:2" ht="18" customHeight="1" x14ac:dyDescent="0.3">
      <c r="A55" s="24"/>
      <c r="B55" s="24"/>
    </row>
    <row r="56" spans="1:2" ht="18" customHeight="1" x14ac:dyDescent="0.3">
      <c r="A56" s="24"/>
      <c r="B56" s="24"/>
    </row>
    <row r="57" spans="1:2" ht="18" customHeight="1" x14ac:dyDescent="0.3">
      <c r="A57" s="24"/>
      <c r="B57" s="24"/>
    </row>
    <row r="58" spans="1:2" ht="18" customHeight="1" x14ac:dyDescent="0.3">
      <c r="A58" s="24"/>
      <c r="B58" s="24"/>
    </row>
    <row r="59" spans="1:2" ht="18" customHeight="1" x14ac:dyDescent="0.3">
      <c r="A59" s="24"/>
      <c r="B59" s="24"/>
    </row>
    <row r="60" spans="1:2" ht="18" customHeight="1" x14ac:dyDescent="0.3">
      <c r="A60" s="24"/>
      <c r="B60" s="24"/>
    </row>
    <row r="61" spans="1:2" ht="18" customHeight="1" x14ac:dyDescent="0.3">
      <c r="A61" s="24"/>
      <c r="B61" s="24"/>
    </row>
    <row r="62" spans="1:2" ht="18" customHeight="1" x14ac:dyDescent="0.3">
      <c r="A62" s="24"/>
      <c r="B62" s="24"/>
    </row>
    <row r="63" spans="1:2" ht="18" customHeight="1" x14ac:dyDescent="0.3">
      <c r="A63" s="24"/>
      <c r="B63" s="24"/>
    </row>
    <row r="64" spans="1:2" ht="18" customHeight="1" x14ac:dyDescent="0.3">
      <c r="A64" s="24"/>
      <c r="B64" s="24"/>
    </row>
    <row r="65" spans="1:2" ht="18" customHeight="1" x14ac:dyDescent="0.3">
      <c r="A65" s="24"/>
      <c r="B65" s="24"/>
    </row>
    <row r="66" spans="1:2" ht="18" customHeight="1" x14ac:dyDescent="0.3">
      <c r="A66" s="24"/>
      <c r="B66" s="24"/>
    </row>
    <row r="67" spans="1:2" ht="18" customHeight="1" x14ac:dyDescent="0.3">
      <c r="A67" s="24"/>
      <c r="B67" s="24"/>
    </row>
    <row r="68" spans="1:2" ht="18" customHeight="1" x14ac:dyDescent="0.3">
      <c r="A68" s="24"/>
      <c r="B68" s="24"/>
    </row>
    <row r="69" spans="1:2" ht="18" customHeight="1" x14ac:dyDescent="0.3">
      <c r="A69" s="24"/>
      <c r="B69" s="24"/>
    </row>
    <row r="70" spans="1:2" ht="18" customHeight="1" x14ac:dyDescent="0.3">
      <c r="A70" s="24"/>
      <c r="B70" s="24"/>
    </row>
    <row r="71" spans="1:2" ht="18" customHeight="1" x14ac:dyDescent="0.3">
      <c r="A71" s="24"/>
      <c r="B71" s="24"/>
    </row>
    <row r="72" spans="1:2" ht="18.75" customHeight="1" x14ac:dyDescent="0.3">
      <c r="A72" s="24"/>
      <c r="B72" s="24"/>
    </row>
    <row r="73" spans="1:2" ht="18.75" customHeight="1" x14ac:dyDescent="0.3">
      <c r="A73" s="24"/>
      <c r="B73" s="24"/>
    </row>
    <row r="74" spans="1:2" ht="18.75" customHeight="1" x14ac:dyDescent="0.3">
      <c r="A74" s="24"/>
      <c r="B74" s="24"/>
    </row>
    <row r="75" spans="1:2" ht="18.75" customHeight="1" x14ac:dyDescent="0.3">
      <c r="A75" s="24"/>
      <c r="B75" s="24"/>
    </row>
    <row r="76" spans="1:2" ht="18.75" customHeight="1" x14ac:dyDescent="0.3">
      <c r="A76" s="24"/>
      <c r="B76" s="24"/>
    </row>
    <row r="77" spans="1:2" ht="18.75" customHeight="1" x14ac:dyDescent="0.3">
      <c r="A77" s="24"/>
      <c r="B77" s="24"/>
    </row>
    <row r="78" spans="1:2" ht="18.75" customHeight="1" x14ac:dyDescent="0.3">
      <c r="A78" s="24"/>
      <c r="B78" s="24"/>
    </row>
    <row r="79" spans="1:2" ht="18.75" customHeight="1" x14ac:dyDescent="0.3">
      <c r="A79" s="24"/>
      <c r="B79" s="24"/>
    </row>
    <row r="80" spans="1:2" ht="18.75" customHeight="1" x14ac:dyDescent="0.3">
      <c r="A80" s="24"/>
      <c r="B80" s="24"/>
    </row>
    <row r="81" spans="1:2" ht="18.75" customHeight="1" x14ac:dyDescent="0.3">
      <c r="A81" s="24"/>
      <c r="B81" s="24"/>
    </row>
    <row r="82" spans="1:2" ht="18.75" customHeight="1" x14ac:dyDescent="0.3">
      <c r="A82" s="24"/>
      <c r="B82" s="24"/>
    </row>
    <row r="83" spans="1:2" ht="18.75" customHeight="1" x14ac:dyDescent="0.3">
      <c r="A83" s="24"/>
      <c r="B83" s="24"/>
    </row>
    <row r="84" spans="1:2" ht="18.75" customHeight="1" x14ac:dyDescent="0.3">
      <c r="A84" s="24"/>
      <c r="B84" s="24"/>
    </row>
    <row r="85" spans="1:2" ht="18.75" customHeight="1" x14ac:dyDescent="0.3">
      <c r="A85" s="24"/>
      <c r="B85" s="24"/>
    </row>
    <row r="86" spans="1:2" ht="18.75" customHeight="1" x14ac:dyDescent="0.3">
      <c r="A86" s="24"/>
      <c r="B86" s="24"/>
    </row>
    <row r="87" spans="1:2" ht="18.75" customHeight="1" x14ac:dyDescent="0.3">
      <c r="A87" s="24"/>
      <c r="B87" s="24"/>
    </row>
    <row r="88" spans="1:2" ht="18.75" customHeight="1" x14ac:dyDescent="0.3">
      <c r="A88" s="24"/>
      <c r="B88" s="24"/>
    </row>
    <row r="89" spans="1:2" ht="18.75" customHeight="1" x14ac:dyDescent="0.3">
      <c r="A89" s="24"/>
      <c r="B89" s="24"/>
    </row>
    <row r="90" spans="1:2" ht="18.75" customHeight="1" x14ac:dyDescent="0.3">
      <c r="A90" s="24"/>
      <c r="B90" s="24"/>
    </row>
    <row r="91" spans="1:2" ht="18.75" customHeight="1" x14ac:dyDescent="0.3">
      <c r="A91" s="24"/>
      <c r="B91" s="24"/>
    </row>
    <row r="92" spans="1:2" ht="18.75" customHeight="1" x14ac:dyDescent="0.3">
      <c r="A92" s="24"/>
      <c r="B92" s="24"/>
    </row>
    <row r="93" spans="1:2" ht="18.75" customHeight="1" x14ac:dyDescent="0.3">
      <c r="A93" s="24"/>
      <c r="B93" s="24"/>
    </row>
    <row r="94" spans="1:2" ht="18.75" customHeight="1" x14ac:dyDescent="0.3">
      <c r="A94" s="24"/>
      <c r="B94" s="24"/>
    </row>
    <row r="95" spans="1:2" ht="18.75" customHeight="1" x14ac:dyDescent="0.3">
      <c r="A95" s="24"/>
      <c r="B95" s="24"/>
    </row>
    <row r="96" spans="1:2" ht="18.75" customHeight="1" x14ac:dyDescent="0.3">
      <c r="A96" s="24"/>
      <c r="B96" s="24"/>
    </row>
    <row r="97" spans="1:2" ht="18.75" customHeight="1" x14ac:dyDescent="0.3">
      <c r="A97" s="24"/>
      <c r="B97" s="24"/>
    </row>
    <row r="98" spans="1:2" ht="18.75" customHeight="1" x14ac:dyDescent="0.3">
      <c r="A98" s="24"/>
      <c r="B98" s="24"/>
    </row>
    <row r="99" spans="1:2" ht="18.75" customHeight="1" x14ac:dyDescent="0.3">
      <c r="A99" s="24"/>
      <c r="B99" s="24"/>
    </row>
    <row r="100" spans="1:2" ht="18.75" customHeight="1" x14ac:dyDescent="0.3">
      <c r="A100" s="24"/>
      <c r="B100" s="24"/>
    </row>
    <row r="101" spans="1:2" ht="18.75" customHeight="1" x14ac:dyDescent="0.3">
      <c r="A101" s="24"/>
      <c r="B101" s="24"/>
    </row>
    <row r="102" spans="1:2" ht="18.75" customHeight="1" x14ac:dyDescent="0.3">
      <c r="A102" s="24"/>
      <c r="B102" s="24"/>
    </row>
    <row r="103" spans="1:2" ht="18.75" customHeight="1" x14ac:dyDescent="0.3">
      <c r="A103" s="24"/>
      <c r="B103" s="24"/>
    </row>
    <row r="104" spans="1:2" ht="18.75" customHeight="1" x14ac:dyDescent="0.3">
      <c r="A104" s="24"/>
      <c r="B104" s="24"/>
    </row>
    <row r="105" spans="1:2" ht="18.75" customHeight="1" x14ac:dyDescent="0.3">
      <c r="A105" s="24"/>
      <c r="B105" s="24"/>
    </row>
    <row r="106" spans="1:2" ht="18.75" customHeight="1" x14ac:dyDescent="0.3">
      <c r="A106" s="24"/>
      <c r="B106" s="24"/>
    </row>
    <row r="107" spans="1:2" ht="18.75" customHeight="1" x14ac:dyDescent="0.3">
      <c r="A107" s="24"/>
      <c r="B107" s="24"/>
    </row>
    <row r="108" spans="1:2" ht="18.75" customHeight="1" x14ac:dyDescent="0.3">
      <c r="A108" s="24"/>
      <c r="B108" s="24"/>
    </row>
    <row r="109" spans="1:2" ht="18.75" customHeight="1" x14ac:dyDescent="0.3">
      <c r="A109" s="24"/>
      <c r="B109" s="24"/>
    </row>
    <row r="110" spans="1:2" ht="18.75" customHeight="1" x14ac:dyDescent="0.3">
      <c r="A110" s="24"/>
      <c r="B110" s="24"/>
    </row>
    <row r="111" spans="1:2" ht="18.75" customHeight="1" x14ac:dyDescent="0.3">
      <c r="A111" s="24"/>
      <c r="B111" s="24"/>
    </row>
    <row r="112" spans="1:2" ht="18.75" customHeight="1" x14ac:dyDescent="0.3">
      <c r="A112" s="24"/>
      <c r="B112" s="24"/>
    </row>
    <row r="113" spans="1:2" ht="18.75" customHeight="1" x14ac:dyDescent="0.3">
      <c r="A113" s="24"/>
      <c r="B113" s="24"/>
    </row>
  </sheetData>
  <sortState ref="A5:E27">
    <sortCondition ref="A5"/>
  </sortState>
  <phoneticPr fontId="18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3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/>
  </sheetViews>
  <sheetFormatPr defaultColWidth="9.140625" defaultRowHeight="18.75" customHeight="1" x14ac:dyDescent="0.2"/>
  <cols>
    <col min="1" max="1" width="22.42578125" style="13" bestFit="1" customWidth="1"/>
    <col min="2" max="2" width="10.7109375" style="14" hidden="1" customWidth="1"/>
    <col min="3" max="8" width="10.7109375" style="92" hidden="1" customWidth="1"/>
    <col min="9" max="9" width="0" style="92" hidden="1" customWidth="1"/>
    <col min="10" max="16384" width="9.140625" style="92"/>
  </cols>
  <sheetData>
    <row r="1" spans="1:12" s="141" customFormat="1" ht="22.5" customHeight="1" x14ac:dyDescent="0.3">
      <c r="A1" s="175" t="s">
        <v>419</v>
      </c>
      <c r="B1" s="162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customHeight="1" x14ac:dyDescent="0.3">
      <c r="A2" s="94"/>
      <c r="B2" s="45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141" customFormat="1" ht="18.75" customHeight="1" x14ac:dyDescent="0.3">
      <c r="A3" s="100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s="142" customFormat="1" ht="18.75" customHeight="1" x14ac:dyDescent="0.3">
      <c r="A4" s="50"/>
      <c r="B4" s="97"/>
      <c r="C4" s="97"/>
      <c r="D4" s="97"/>
      <c r="E4" s="97"/>
      <c r="F4" s="513"/>
      <c r="G4" s="513"/>
      <c r="H4" s="513"/>
      <c r="I4" s="513"/>
      <c r="J4" s="513"/>
      <c r="K4" s="513"/>
      <c r="L4" s="513"/>
    </row>
    <row r="5" spans="1:12" ht="18.75" customHeight="1" x14ac:dyDescent="0.3">
      <c r="A5" s="50" t="s">
        <v>204</v>
      </c>
      <c r="B5" s="38">
        <v>50</v>
      </c>
      <c r="C5" s="38">
        <v>50</v>
      </c>
      <c r="D5" s="38">
        <v>50</v>
      </c>
      <c r="E5" s="38">
        <v>50</v>
      </c>
      <c r="F5" s="477">
        <v>40</v>
      </c>
      <c r="G5" s="477">
        <v>40</v>
      </c>
      <c r="H5" s="477">
        <v>40</v>
      </c>
      <c r="I5" s="477">
        <v>40</v>
      </c>
      <c r="J5" s="477">
        <v>40</v>
      </c>
      <c r="K5" s="477">
        <v>40</v>
      </c>
      <c r="L5" s="477">
        <v>40</v>
      </c>
    </row>
    <row r="6" spans="1:12" ht="18.75" hidden="1" customHeight="1" x14ac:dyDescent="0.3">
      <c r="A6" s="50" t="s">
        <v>203</v>
      </c>
      <c r="B6" s="38">
        <v>1000</v>
      </c>
      <c r="C6" s="38"/>
      <c r="D6" s="400">
        <v>1800</v>
      </c>
      <c r="E6" s="400" t="s">
        <v>440</v>
      </c>
      <c r="F6" s="476" t="s">
        <v>440</v>
      </c>
      <c r="G6" s="476" t="s">
        <v>440</v>
      </c>
      <c r="H6" s="476" t="s">
        <v>440</v>
      </c>
      <c r="I6" s="476" t="s">
        <v>440</v>
      </c>
      <c r="J6" s="476" t="s">
        <v>440</v>
      </c>
      <c r="K6" s="476" t="s">
        <v>440</v>
      </c>
      <c r="L6" s="476" t="s">
        <v>440</v>
      </c>
    </row>
    <row r="7" spans="1:12" ht="18.75" customHeight="1" x14ac:dyDescent="0.3">
      <c r="A7" s="50" t="s">
        <v>207</v>
      </c>
      <c r="B7" s="38">
        <v>40</v>
      </c>
      <c r="C7" s="38">
        <v>50</v>
      </c>
      <c r="D7" s="38">
        <v>50</v>
      </c>
      <c r="E7" s="38">
        <v>50</v>
      </c>
      <c r="F7" s="477">
        <v>75</v>
      </c>
      <c r="G7" s="477">
        <v>75</v>
      </c>
      <c r="H7" s="477">
        <v>200</v>
      </c>
      <c r="I7" s="477">
        <v>200</v>
      </c>
      <c r="J7" s="477">
        <v>350</v>
      </c>
      <c r="K7" s="477">
        <v>350</v>
      </c>
      <c r="L7" s="477">
        <v>350</v>
      </c>
    </row>
    <row r="8" spans="1:12" ht="18.75" customHeight="1" x14ac:dyDescent="0.3">
      <c r="A8" s="50" t="s">
        <v>205</v>
      </c>
      <c r="B8" s="58">
        <v>10</v>
      </c>
      <c r="C8" s="58">
        <v>10</v>
      </c>
      <c r="D8" s="58">
        <v>10</v>
      </c>
      <c r="E8" s="58">
        <v>10</v>
      </c>
      <c r="F8" s="466">
        <v>10</v>
      </c>
      <c r="G8" s="466">
        <v>10</v>
      </c>
      <c r="H8" s="466">
        <v>10</v>
      </c>
      <c r="I8" s="466">
        <v>10</v>
      </c>
      <c r="J8" s="466">
        <v>10</v>
      </c>
      <c r="K8" s="466">
        <v>10</v>
      </c>
      <c r="L8" s="466">
        <v>10</v>
      </c>
    </row>
    <row r="9" spans="1:12" ht="18.75" customHeight="1" x14ac:dyDescent="0.3">
      <c r="A9" s="50" t="s">
        <v>206</v>
      </c>
      <c r="B9" s="38">
        <v>800</v>
      </c>
      <c r="C9" s="38">
        <v>750</v>
      </c>
      <c r="D9" s="38">
        <v>750</v>
      </c>
      <c r="E9" s="38">
        <v>750</v>
      </c>
      <c r="F9" s="477">
        <v>750</v>
      </c>
      <c r="G9" s="477">
        <v>750</v>
      </c>
      <c r="H9" s="477">
        <v>800</v>
      </c>
      <c r="I9" s="477">
        <v>800</v>
      </c>
      <c r="J9" s="477">
        <v>1000</v>
      </c>
      <c r="K9" s="477">
        <v>1000</v>
      </c>
      <c r="L9" s="477">
        <v>1000</v>
      </c>
    </row>
    <row r="10" spans="1:12" s="141" customFormat="1" ht="18.75" customHeight="1" thickBot="1" x14ac:dyDescent="0.35">
      <c r="A10" s="244"/>
      <c r="B10" s="239">
        <v>-1100</v>
      </c>
      <c r="C10" s="239"/>
      <c r="D10" s="239"/>
      <c r="E10" s="239"/>
      <c r="F10" s="569"/>
      <c r="G10" s="569"/>
      <c r="H10" s="569"/>
      <c r="I10" s="569"/>
      <c r="J10" s="569"/>
      <c r="K10" s="569"/>
      <c r="L10" s="569"/>
    </row>
    <row r="11" spans="1:12" ht="18.75" customHeight="1" thickTop="1" x14ac:dyDescent="0.3">
      <c r="A11" s="109" t="s">
        <v>84</v>
      </c>
      <c r="B11" s="108">
        <f t="shared" ref="B11:J11" si="0">SUM(B4:B10)</f>
        <v>800</v>
      </c>
      <c r="C11" s="108">
        <f t="shared" si="0"/>
        <v>860</v>
      </c>
      <c r="D11" s="108">
        <f t="shared" si="0"/>
        <v>2660</v>
      </c>
      <c r="E11" s="108">
        <f t="shared" si="0"/>
        <v>860</v>
      </c>
      <c r="F11" s="557">
        <f t="shared" si="0"/>
        <v>875</v>
      </c>
      <c r="G11" s="557">
        <f t="shared" si="0"/>
        <v>875</v>
      </c>
      <c r="H11" s="557">
        <f t="shared" si="0"/>
        <v>1050</v>
      </c>
      <c r="I11" s="557">
        <f t="shared" si="0"/>
        <v>1050</v>
      </c>
      <c r="J11" s="557">
        <f t="shared" si="0"/>
        <v>1400</v>
      </c>
      <c r="K11" s="557">
        <f>SUM(K4:K10)</f>
        <v>1400</v>
      </c>
      <c r="L11" s="557">
        <f>SUM(L4:L10)</f>
        <v>1400</v>
      </c>
    </row>
    <row r="12" spans="1:12" ht="18.75" customHeight="1" x14ac:dyDescent="0.3">
      <c r="A12" s="93"/>
      <c r="B12" s="41"/>
      <c r="C12" s="24"/>
    </row>
    <row r="13" spans="1:12" ht="18.75" customHeight="1" x14ac:dyDescent="0.3">
      <c r="A13" s="16"/>
      <c r="B13" s="41"/>
      <c r="C13" s="24"/>
    </row>
    <row r="14" spans="1:12" ht="18.75" customHeight="1" x14ac:dyDescent="0.3">
      <c r="A14" s="93"/>
      <c r="B14" s="41"/>
      <c r="C14" s="24"/>
    </row>
  </sheetData>
  <sortState ref="A5:E9">
    <sortCondition ref="A5"/>
  </sortState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/>
  </sheetViews>
  <sheetFormatPr defaultColWidth="9.140625" defaultRowHeight="18.75" customHeight="1" x14ac:dyDescent="0.2"/>
  <cols>
    <col min="1" max="1" width="35.140625" style="3" bestFit="1" customWidth="1"/>
    <col min="2" max="2" width="10.7109375" style="4" hidden="1" customWidth="1"/>
    <col min="3" max="8" width="10.7109375" style="1" hidden="1" customWidth="1"/>
    <col min="9" max="9" width="0" style="1" hidden="1" customWidth="1"/>
    <col min="10" max="16384" width="9.140625" style="1"/>
  </cols>
  <sheetData>
    <row r="1" spans="1:18" s="2" customFormat="1" ht="24" customHeight="1" x14ac:dyDescent="0.25">
      <c r="A1" s="217" t="s">
        <v>420</v>
      </c>
      <c r="B1" s="90"/>
      <c r="C1" s="87"/>
      <c r="D1" s="87"/>
      <c r="E1" s="87"/>
      <c r="F1" s="87"/>
      <c r="G1" s="87"/>
      <c r="H1" s="87"/>
      <c r="I1" s="87"/>
      <c r="J1" s="87"/>
      <c r="K1" s="87"/>
      <c r="L1" s="87"/>
      <c r="M1"/>
      <c r="N1"/>
      <c r="O1"/>
      <c r="P1"/>
      <c r="Q1"/>
      <c r="R1"/>
    </row>
    <row r="2" spans="1:18" ht="18.75" customHeight="1" x14ac:dyDescent="0.25">
      <c r="A2" s="47"/>
      <c r="B2" s="30"/>
      <c r="C2" s="47"/>
      <c r="D2" s="47"/>
      <c r="E2" s="47"/>
      <c r="F2" s="47"/>
      <c r="G2" s="47"/>
      <c r="H2" s="47"/>
      <c r="I2" s="47"/>
      <c r="J2" s="47"/>
      <c r="K2" s="47"/>
      <c r="L2" s="47"/>
      <c r="M2"/>
      <c r="N2"/>
      <c r="O2"/>
      <c r="P2"/>
      <c r="Q2"/>
      <c r="R2"/>
    </row>
    <row r="3" spans="1:18" s="2" customFormat="1" ht="18.75" customHeight="1" x14ac:dyDescent="0.3">
      <c r="A3" s="37" t="s">
        <v>86</v>
      </c>
      <c r="B3" s="105">
        <v>2010</v>
      </c>
      <c r="C3" s="105">
        <v>2013</v>
      </c>
      <c r="D3" s="105">
        <v>2014</v>
      </c>
      <c r="E3" s="105">
        <v>2015</v>
      </c>
      <c r="F3" s="105">
        <v>2016</v>
      </c>
      <c r="G3" s="105">
        <v>2017</v>
      </c>
      <c r="H3" s="105">
        <v>2018</v>
      </c>
      <c r="I3" s="105">
        <v>2019</v>
      </c>
      <c r="J3" s="105">
        <v>2020</v>
      </c>
      <c r="K3" s="105">
        <v>2021</v>
      </c>
      <c r="L3" s="105">
        <v>2022</v>
      </c>
      <c r="M3"/>
      <c r="N3"/>
      <c r="O3"/>
      <c r="P3"/>
      <c r="Q3"/>
      <c r="R3"/>
    </row>
    <row r="4" spans="1:18" s="6" customFormat="1" ht="18.75" customHeight="1" x14ac:dyDescent="0.3">
      <c r="A4" s="97"/>
      <c r="B4" s="248"/>
      <c r="C4" s="248"/>
      <c r="D4" s="248"/>
      <c r="E4" s="248"/>
      <c r="F4" s="570"/>
      <c r="G4" s="570"/>
      <c r="H4" s="570"/>
      <c r="I4" s="570"/>
      <c r="J4" s="570"/>
      <c r="K4" s="570"/>
      <c r="L4" s="570"/>
      <c r="M4"/>
      <c r="N4"/>
      <c r="O4"/>
      <c r="P4"/>
      <c r="Q4"/>
      <c r="R4"/>
    </row>
    <row r="5" spans="1:18" s="2" customFormat="1" ht="24.95" customHeight="1" x14ac:dyDescent="0.3">
      <c r="A5" s="50" t="s">
        <v>87</v>
      </c>
      <c r="B5" s="105"/>
      <c r="C5" s="105"/>
      <c r="D5" s="105"/>
      <c r="E5" s="105"/>
      <c r="F5" s="543"/>
      <c r="G5" s="543"/>
      <c r="H5" s="543"/>
      <c r="I5" s="543"/>
      <c r="J5" s="543"/>
      <c r="K5" s="543"/>
      <c r="L5" s="543"/>
      <c r="M5"/>
      <c r="N5"/>
      <c r="O5"/>
      <c r="P5"/>
      <c r="Q5"/>
      <c r="R5"/>
    </row>
    <row r="6" spans="1:18" ht="24.95" customHeight="1" thickBot="1" x14ac:dyDescent="0.35">
      <c r="A6" s="62" t="s">
        <v>361</v>
      </c>
      <c r="B6" s="249">
        <v>325</v>
      </c>
      <c r="C6" s="249">
        <v>325</v>
      </c>
      <c r="D6" s="249">
        <v>1091</v>
      </c>
      <c r="E6" s="249">
        <f>286*4</f>
        <v>1144</v>
      </c>
      <c r="F6" s="479">
        <v>1100</v>
      </c>
      <c r="G6" s="479">
        <v>1100</v>
      </c>
      <c r="H6" s="479">
        <v>1100</v>
      </c>
      <c r="I6" s="479">
        <v>1100</v>
      </c>
      <c r="J6" s="479">
        <f>1188*1.05</f>
        <v>1247.4000000000001</v>
      </c>
      <c r="K6" s="479">
        <f>1188*1.05</f>
        <v>1247.4000000000001</v>
      </c>
      <c r="L6" s="479">
        <v>1188</v>
      </c>
      <c r="M6"/>
      <c r="N6"/>
      <c r="O6"/>
      <c r="P6"/>
      <c r="Q6"/>
      <c r="R6"/>
    </row>
    <row r="7" spans="1:18" ht="24.95" customHeight="1" x14ac:dyDescent="0.3">
      <c r="A7" s="252" t="s">
        <v>213</v>
      </c>
      <c r="B7" s="253">
        <v>3000</v>
      </c>
      <c r="C7" s="253">
        <v>3500</v>
      </c>
      <c r="D7" s="253">
        <v>3092</v>
      </c>
      <c r="E7" s="253">
        <f>757.5*4</f>
        <v>3030</v>
      </c>
      <c r="F7" s="571">
        <v>3200</v>
      </c>
      <c r="G7" s="571">
        <v>3200</v>
      </c>
      <c r="H7" s="571">
        <v>3200</v>
      </c>
      <c r="I7" s="571">
        <v>3200</v>
      </c>
      <c r="J7" s="571">
        <f>3406*1.05</f>
        <v>3576.3</v>
      </c>
      <c r="K7" s="571">
        <f>3406*1.05</f>
        <v>3576.3</v>
      </c>
      <c r="L7" s="571">
        <v>3634</v>
      </c>
      <c r="M7"/>
      <c r="N7"/>
      <c r="O7"/>
      <c r="P7"/>
      <c r="Q7"/>
      <c r="R7"/>
    </row>
    <row r="8" spans="1:18" ht="24.95" customHeight="1" thickBot="1" x14ac:dyDescent="0.35">
      <c r="A8" s="246" t="s">
        <v>214</v>
      </c>
      <c r="B8" s="250">
        <v>4000</v>
      </c>
      <c r="C8" s="250">
        <v>4000</v>
      </c>
      <c r="D8" s="250">
        <v>3939</v>
      </c>
      <c r="E8" s="250">
        <f>1070*4</f>
        <v>4280</v>
      </c>
      <c r="F8" s="572">
        <v>5000</v>
      </c>
      <c r="G8" s="572">
        <v>5000</v>
      </c>
      <c r="H8" s="572">
        <v>5000</v>
      </c>
      <c r="I8" s="572">
        <v>5000</v>
      </c>
      <c r="J8" s="572">
        <f>5675*1.05</f>
        <v>5958.75</v>
      </c>
      <c r="K8" s="572">
        <f>5675*1.05</f>
        <v>5958.75</v>
      </c>
      <c r="L8" s="572">
        <v>6144</v>
      </c>
      <c r="M8"/>
      <c r="N8"/>
      <c r="O8"/>
      <c r="P8"/>
      <c r="Q8"/>
      <c r="R8"/>
    </row>
    <row r="9" spans="1:18" ht="24.95" customHeight="1" x14ac:dyDescent="0.3">
      <c r="A9" s="252" t="s">
        <v>212</v>
      </c>
      <c r="B9" s="253">
        <v>2500</v>
      </c>
      <c r="C9" s="253">
        <v>1500</v>
      </c>
      <c r="D9" s="253">
        <v>1541</v>
      </c>
      <c r="E9" s="253">
        <f>592*4</f>
        <v>2368</v>
      </c>
      <c r="F9" s="571">
        <v>2800</v>
      </c>
      <c r="G9" s="571">
        <v>2800</v>
      </c>
      <c r="H9" s="571">
        <v>3800</v>
      </c>
      <c r="I9" s="571">
        <v>3800</v>
      </c>
      <c r="J9" s="571">
        <f>4148*1.05</f>
        <v>4355.4000000000005</v>
      </c>
      <c r="K9" s="571">
        <f>4148*1.05</f>
        <v>4355.4000000000005</v>
      </c>
      <c r="L9" s="571">
        <v>4148</v>
      </c>
      <c r="M9"/>
      <c r="N9"/>
      <c r="O9"/>
      <c r="P9"/>
      <c r="Q9"/>
      <c r="R9"/>
    </row>
    <row r="10" spans="1:18" ht="24.95" customHeight="1" thickBot="1" x14ac:dyDescent="0.35">
      <c r="A10" s="246" t="s">
        <v>211</v>
      </c>
      <c r="B10" s="250">
        <v>10000</v>
      </c>
      <c r="C10" s="250">
        <v>10500</v>
      </c>
      <c r="D10" s="250">
        <v>10728</v>
      </c>
      <c r="E10" s="250">
        <f>3385*4</f>
        <v>13540</v>
      </c>
      <c r="F10" s="572">
        <v>15000</v>
      </c>
      <c r="G10" s="572">
        <v>15000</v>
      </c>
      <c r="H10" s="572">
        <v>16000</v>
      </c>
      <c r="I10" s="572">
        <v>16000</v>
      </c>
      <c r="J10" s="572">
        <f>19134*1.05</f>
        <v>20090.7</v>
      </c>
      <c r="K10" s="572">
        <f>19134*1.05</f>
        <v>20090.7</v>
      </c>
      <c r="L10" s="572">
        <v>18374</v>
      </c>
      <c r="M10"/>
      <c r="N10"/>
      <c r="O10"/>
      <c r="P10"/>
      <c r="Q10"/>
      <c r="R10"/>
    </row>
    <row r="11" spans="1:18" ht="24.95" customHeight="1" x14ac:dyDescent="0.3">
      <c r="A11" s="252" t="s">
        <v>209</v>
      </c>
      <c r="B11" s="254">
        <v>4500</v>
      </c>
      <c r="C11" s="254">
        <v>5000</v>
      </c>
      <c r="D11" s="254">
        <v>4945</v>
      </c>
      <c r="E11" s="254">
        <f>1342*4</f>
        <v>5368</v>
      </c>
      <c r="F11" s="573">
        <v>4600</v>
      </c>
      <c r="G11" s="573">
        <v>4600</v>
      </c>
      <c r="H11" s="573">
        <v>4800</v>
      </c>
      <c r="I11" s="573">
        <v>4800</v>
      </c>
      <c r="J11" s="573">
        <f>5186*1.05</f>
        <v>5445.3</v>
      </c>
      <c r="K11" s="573">
        <f>5186*1.05</f>
        <v>5445.3</v>
      </c>
      <c r="L11" s="573">
        <v>5459</v>
      </c>
      <c r="M11"/>
      <c r="N11"/>
      <c r="O11"/>
      <c r="P11"/>
      <c r="Q11"/>
      <c r="R11"/>
    </row>
    <row r="12" spans="1:18" ht="18.75" hidden="1" customHeight="1" x14ac:dyDescent="0.3">
      <c r="A12" s="62" t="s">
        <v>362</v>
      </c>
      <c r="B12" s="203"/>
      <c r="C12" s="336"/>
      <c r="D12" s="156">
        <v>34</v>
      </c>
      <c r="E12" s="156">
        <v>34</v>
      </c>
      <c r="F12" s="467"/>
      <c r="G12" s="467"/>
      <c r="H12" s="467"/>
      <c r="I12" s="467"/>
      <c r="J12" s="467"/>
      <c r="K12" s="467"/>
      <c r="L12" s="467"/>
      <c r="M12"/>
      <c r="N12"/>
      <c r="O12"/>
      <c r="P12"/>
      <c r="Q12"/>
      <c r="R12"/>
    </row>
    <row r="13" spans="1:18" ht="18.75" customHeight="1" x14ac:dyDescent="0.3">
      <c r="A13" s="62" t="s">
        <v>451</v>
      </c>
      <c r="B13" s="203"/>
      <c r="C13" s="336"/>
      <c r="D13" s="336"/>
      <c r="E13" s="156"/>
      <c r="F13" s="467">
        <f>950*2</f>
        <v>1900</v>
      </c>
      <c r="G13" s="467">
        <v>1900</v>
      </c>
      <c r="H13" s="467">
        <v>1900</v>
      </c>
      <c r="I13" s="467">
        <v>1900</v>
      </c>
      <c r="J13" s="467">
        <v>2000</v>
      </c>
      <c r="K13" s="467">
        <v>2000</v>
      </c>
      <c r="L13" s="467">
        <v>2000</v>
      </c>
      <c r="M13"/>
      <c r="N13"/>
      <c r="O13"/>
      <c r="P13"/>
      <c r="Q13"/>
      <c r="R13"/>
    </row>
    <row r="14" spans="1:18" ht="18.75" customHeight="1" x14ac:dyDescent="0.3">
      <c r="A14" s="62"/>
      <c r="B14" s="58"/>
      <c r="C14" s="156"/>
      <c r="D14" s="156"/>
      <c r="E14" s="156"/>
      <c r="F14" s="467"/>
      <c r="G14" s="467"/>
      <c r="H14" s="467"/>
      <c r="I14" s="467"/>
      <c r="J14" s="467"/>
      <c r="K14" s="467"/>
      <c r="L14" s="467"/>
      <c r="M14" s="206"/>
      <c r="N14" s="206"/>
      <c r="O14" s="206"/>
      <c r="P14" s="206"/>
      <c r="Q14" s="206"/>
      <c r="R14" s="206"/>
    </row>
    <row r="15" spans="1:18" ht="18.75" customHeight="1" thickBot="1" x14ac:dyDescent="0.35">
      <c r="A15" s="62"/>
      <c r="B15" s="239">
        <f>-825-26</f>
        <v>-851</v>
      </c>
      <c r="C15" s="424"/>
      <c r="D15" s="424"/>
      <c r="E15" s="424"/>
      <c r="F15" s="574"/>
      <c r="G15" s="574"/>
      <c r="H15" s="574"/>
      <c r="I15" s="574"/>
      <c r="J15" s="574"/>
      <c r="K15" s="574"/>
      <c r="L15" s="574"/>
      <c r="M15" s="206"/>
      <c r="N15" s="206"/>
      <c r="O15" s="206"/>
      <c r="P15" s="206"/>
      <c r="Q15" s="206"/>
      <c r="R15" s="206"/>
    </row>
    <row r="16" spans="1:18" ht="18.75" customHeight="1" thickTop="1" x14ac:dyDescent="0.3">
      <c r="A16" s="109" t="s">
        <v>84</v>
      </c>
      <c r="B16" s="40">
        <f>SUM(B4:B15)</f>
        <v>23474</v>
      </c>
      <c r="C16" s="40">
        <f>SUM(C4:C15)</f>
        <v>24825</v>
      </c>
      <c r="D16" s="40">
        <f>SUM(D4:D15)</f>
        <v>25370</v>
      </c>
      <c r="E16" s="40">
        <f>SUM(E4:E15)</f>
        <v>29764</v>
      </c>
      <c r="F16" s="480">
        <f>SUM(F6:F15)</f>
        <v>33600</v>
      </c>
      <c r="G16" s="480">
        <f>SUM(G4:G15)</f>
        <v>33600</v>
      </c>
      <c r="H16" s="480">
        <f>SUM(H4:H15)</f>
        <v>35800</v>
      </c>
      <c r="I16" s="480">
        <f>SUM(I4:I15)</f>
        <v>35800</v>
      </c>
      <c r="J16" s="480">
        <f>SUM(J4:J15)+26</f>
        <v>42699.850000000006</v>
      </c>
      <c r="K16" s="480">
        <f>SUM(K4:K15)</f>
        <v>42673.850000000006</v>
      </c>
      <c r="L16" s="480">
        <f>SUM(L4:L15)</f>
        <v>40947</v>
      </c>
      <c r="M16"/>
      <c r="N16"/>
      <c r="O16"/>
      <c r="P16"/>
      <c r="Q16"/>
      <c r="R16"/>
    </row>
    <row r="17" spans="1:18" ht="18.75" customHeight="1" x14ac:dyDescent="0.3">
      <c r="A17" s="107"/>
      <c r="B17" s="107"/>
      <c r="C17" s="107"/>
      <c r="D17"/>
      <c r="E17" s="251"/>
      <c r="F17" s="251"/>
      <c r="G17" s="251"/>
      <c r="H17" s="251"/>
      <c r="I17"/>
      <c r="J17"/>
      <c r="K17"/>
      <c r="L17"/>
      <c r="M17"/>
      <c r="N17"/>
      <c r="O17"/>
      <c r="P17"/>
      <c r="Q17"/>
      <c r="R17"/>
    </row>
    <row r="18" spans="1:18" ht="18.75" customHeight="1" x14ac:dyDescent="0.25">
      <c r="A18" s="55"/>
      <c r="B18" s="21"/>
      <c r="C18" s="21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ht="18.75" customHeight="1" x14ac:dyDescent="0.2">
      <c r="A19" s="21"/>
      <c r="B19" s="21"/>
      <c r="C19" s="21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ht="18.7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8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ht="18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8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8.75" customHeight="1" x14ac:dyDescent="0.2">
      <c r="A24"/>
      <c r="B24"/>
      <c r="C24"/>
      <c r="D24"/>
      <c r="E24"/>
      <c r="F24"/>
      <c r="G24"/>
      <c r="H24"/>
    </row>
    <row r="25" spans="1:18" ht="18.75" customHeight="1" x14ac:dyDescent="0.2">
      <c r="A25"/>
      <c r="B25"/>
      <c r="C25"/>
      <c r="D25"/>
      <c r="E25"/>
      <c r="F25"/>
      <c r="G25"/>
      <c r="H25"/>
    </row>
    <row r="26" spans="1:18" ht="18.75" customHeight="1" x14ac:dyDescent="0.2">
      <c r="A26"/>
      <c r="B26"/>
      <c r="C26"/>
      <c r="D26"/>
      <c r="E26"/>
      <c r="F26"/>
      <c r="G26"/>
      <c r="H26"/>
    </row>
    <row r="27" spans="1:18" ht="18.75" customHeight="1" x14ac:dyDescent="0.2">
      <c r="A27"/>
      <c r="B27"/>
      <c r="C27"/>
      <c r="D27"/>
      <c r="E27"/>
      <c r="F27"/>
      <c r="G27"/>
      <c r="H27"/>
    </row>
    <row r="28" spans="1:18" ht="18.75" customHeight="1" x14ac:dyDescent="0.2">
      <c r="A28"/>
      <c r="B28"/>
      <c r="C28"/>
      <c r="D28"/>
      <c r="E28"/>
      <c r="F28"/>
      <c r="G28"/>
      <c r="H28"/>
    </row>
    <row r="29" spans="1:18" ht="18.75" customHeight="1" x14ac:dyDescent="0.2">
      <c r="A29"/>
      <c r="B29"/>
      <c r="C29"/>
      <c r="D29"/>
      <c r="E29"/>
      <c r="F29"/>
      <c r="G29"/>
      <c r="H29"/>
    </row>
    <row r="30" spans="1:18" ht="18.75" customHeight="1" x14ac:dyDescent="0.2">
      <c r="A30"/>
      <c r="B30"/>
      <c r="C30"/>
      <c r="D30"/>
      <c r="E30"/>
      <c r="F30"/>
      <c r="G30"/>
      <c r="H30"/>
    </row>
    <row r="31" spans="1:18" ht="18.75" customHeight="1" x14ac:dyDescent="0.2">
      <c r="A31"/>
      <c r="B31"/>
      <c r="C31"/>
      <c r="D31"/>
      <c r="E31"/>
      <c r="F31"/>
      <c r="G31"/>
      <c r="H31"/>
    </row>
    <row r="32" spans="1:18" ht="18.75" customHeight="1" x14ac:dyDescent="0.2">
      <c r="A32"/>
      <c r="B32"/>
      <c r="C32"/>
      <c r="D32"/>
      <c r="E32"/>
      <c r="F32"/>
      <c r="G32"/>
      <c r="H32"/>
    </row>
    <row r="33" spans="1:8" ht="18.75" customHeight="1" x14ac:dyDescent="0.2">
      <c r="A33"/>
      <c r="B33"/>
      <c r="C33"/>
      <c r="D33"/>
      <c r="E33"/>
      <c r="F33"/>
      <c r="G33"/>
      <c r="H33"/>
    </row>
    <row r="34" spans="1:8" ht="18.75" customHeight="1" x14ac:dyDescent="0.2">
      <c r="A34"/>
      <c r="B34"/>
      <c r="C34"/>
      <c r="D34"/>
      <c r="E34"/>
      <c r="F34"/>
      <c r="G34"/>
      <c r="H34"/>
    </row>
    <row r="35" spans="1:8" ht="18.75" customHeight="1" x14ac:dyDescent="0.2">
      <c r="A35"/>
      <c r="B35"/>
      <c r="C35"/>
      <c r="D35"/>
      <c r="E35"/>
      <c r="F35"/>
      <c r="G35"/>
      <c r="H35"/>
    </row>
    <row r="36" spans="1:8" ht="18.75" customHeight="1" x14ac:dyDescent="0.2">
      <c r="A36"/>
      <c r="B36"/>
      <c r="C36"/>
      <c r="D36"/>
      <c r="E36"/>
      <c r="F36"/>
      <c r="G36"/>
      <c r="H36"/>
    </row>
    <row r="37" spans="1:8" ht="18.75" customHeight="1" x14ac:dyDescent="0.2">
      <c r="A37"/>
      <c r="B37"/>
      <c r="C37"/>
      <c r="D37"/>
      <c r="E37"/>
      <c r="F37"/>
      <c r="G37"/>
      <c r="H37"/>
    </row>
    <row r="38" spans="1:8" ht="18.75" customHeight="1" x14ac:dyDescent="0.2">
      <c r="A38"/>
      <c r="B38"/>
      <c r="C38"/>
      <c r="D38"/>
      <c r="E38"/>
      <c r="F38"/>
      <c r="G38"/>
      <c r="H38"/>
    </row>
    <row r="39" spans="1:8" ht="18.75" customHeight="1" x14ac:dyDescent="0.2">
      <c r="A39"/>
      <c r="B39"/>
      <c r="C39"/>
      <c r="D39"/>
      <c r="E39"/>
      <c r="F39"/>
      <c r="G39"/>
      <c r="H39"/>
    </row>
    <row r="40" spans="1:8" ht="18.75" customHeight="1" x14ac:dyDescent="0.2">
      <c r="A40"/>
      <c r="B40"/>
      <c r="C40"/>
      <c r="D40"/>
      <c r="E40"/>
      <c r="F40"/>
      <c r="G40"/>
      <c r="H40"/>
    </row>
    <row r="41" spans="1:8" ht="18.75" customHeight="1" x14ac:dyDescent="0.2">
      <c r="A41"/>
      <c r="B41"/>
      <c r="C41"/>
      <c r="D41"/>
      <c r="E41"/>
      <c r="F41"/>
      <c r="G41"/>
      <c r="H41"/>
    </row>
    <row r="42" spans="1:8" ht="18.75" customHeight="1" x14ac:dyDescent="0.2">
      <c r="A42"/>
      <c r="B42"/>
      <c r="C42"/>
      <c r="D42"/>
      <c r="E42"/>
      <c r="F42"/>
      <c r="G42"/>
      <c r="H42"/>
    </row>
    <row r="43" spans="1:8" ht="18.75" customHeight="1" x14ac:dyDescent="0.2">
      <c r="A43"/>
      <c r="B43"/>
      <c r="C43"/>
      <c r="D43"/>
      <c r="E43"/>
      <c r="F43"/>
      <c r="G43"/>
      <c r="H43"/>
    </row>
    <row r="44" spans="1:8" ht="18.75" customHeight="1" x14ac:dyDescent="0.2">
      <c r="A44"/>
      <c r="B44"/>
      <c r="C44"/>
      <c r="D44"/>
      <c r="E44"/>
      <c r="F44"/>
      <c r="G44"/>
      <c r="H44"/>
    </row>
    <row r="45" spans="1:8" ht="18.75" customHeight="1" x14ac:dyDescent="0.2">
      <c r="A45"/>
      <c r="B45"/>
      <c r="C45"/>
      <c r="D45"/>
      <c r="E45"/>
      <c r="F45"/>
      <c r="G45"/>
      <c r="H45"/>
    </row>
    <row r="46" spans="1:8" ht="18.75" customHeight="1" x14ac:dyDescent="0.2">
      <c r="A46"/>
      <c r="B46"/>
      <c r="C46"/>
      <c r="D46"/>
      <c r="E46"/>
      <c r="F46"/>
      <c r="G46"/>
      <c r="H46"/>
    </row>
    <row r="47" spans="1:8" ht="18.75" customHeight="1" x14ac:dyDescent="0.2">
      <c r="A47"/>
      <c r="B47"/>
      <c r="C47"/>
      <c r="D47"/>
      <c r="E47"/>
      <c r="F47"/>
      <c r="G47"/>
      <c r="H47"/>
    </row>
    <row r="48" spans="1:8" ht="18.75" customHeight="1" x14ac:dyDescent="0.2">
      <c r="A48"/>
      <c r="B48"/>
      <c r="C48"/>
      <c r="D48"/>
      <c r="E48"/>
      <c r="F48"/>
      <c r="G48"/>
      <c r="H48"/>
    </row>
    <row r="49" spans="1:8" ht="18.75" customHeight="1" x14ac:dyDescent="0.2">
      <c r="A49"/>
      <c r="B49"/>
      <c r="C49"/>
      <c r="D49"/>
      <c r="E49"/>
      <c r="F49"/>
      <c r="G49"/>
      <c r="H49"/>
    </row>
    <row r="50" spans="1:8" ht="18.75" customHeight="1" x14ac:dyDescent="0.2">
      <c r="A50"/>
      <c r="B50"/>
      <c r="C50"/>
      <c r="D50"/>
      <c r="E50"/>
      <c r="F50"/>
      <c r="G50"/>
      <c r="H50"/>
    </row>
    <row r="51" spans="1:8" ht="18.75" customHeight="1" x14ac:dyDescent="0.2">
      <c r="A51"/>
      <c r="B51"/>
      <c r="C51"/>
      <c r="D51"/>
      <c r="E51"/>
      <c r="F51"/>
      <c r="G51"/>
      <c r="H51"/>
    </row>
    <row r="52" spans="1:8" ht="18.75" customHeight="1" x14ac:dyDescent="0.2">
      <c r="A52"/>
      <c r="B52"/>
      <c r="C52"/>
      <c r="D52"/>
      <c r="E52"/>
      <c r="F52"/>
      <c r="G52"/>
      <c r="H52"/>
    </row>
    <row r="53" spans="1:8" ht="18.75" customHeight="1" x14ac:dyDescent="0.2">
      <c r="A53"/>
      <c r="B53"/>
      <c r="C53"/>
      <c r="D53"/>
      <c r="E53"/>
      <c r="F53"/>
      <c r="G53"/>
      <c r="H53"/>
    </row>
    <row r="54" spans="1:8" ht="18.75" customHeight="1" x14ac:dyDescent="0.2">
      <c r="A54"/>
      <c r="B54"/>
      <c r="C54"/>
      <c r="D54"/>
      <c r="E54"/>
      <c r="F54"/>
      <c r="G54"/>
      <c r="H54"/>
    </row>
  </sheetData>
  <phoneticPr fontId="18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9.140625" defaultRowHeight="18.75" customHeight="1" x14ac:dyDescent="0.2"/>
  <cols>
    <col min="1" max="1" width="33.42578125" style="13" bestFit="1" customWidth="1"/>
    <col min="2" max="2" width="11.7109375" style="14" hidden="1" customWidth="1"/>
    <col min="3" max="8" width="11.7109375" style="92" hidden="1" customWidth="1"/>
    <col min="9" max="9" width="0" style="92" hidden="1" customWidth="1"/>
    <col min="10" max="11" width="9.5703125" style="92" bestFit="1" customWidth="1"/>
    <col min="12" max="12" width="8.5703125" style="92" bestFit="1" customWidth="1"/>
    <col min="13" max="16384" width="9.140625" style="92"/>
  </cols>
  <sheetData>
    <row r="1" spans="1:12" s="141" customFormat="1" ht="18.75" customHeight="1" x14ac:dyDescent="0.3">
      <c r="A1" s="175" t="s">
        <v>421</v>
      </c>
      <c r="B1" s="162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18.75" customHeight="1" x14ac:dyDescent="0.3">
      <c r="A2" s="37"/>
      <c r="B2" s="19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141" customFormat="1" ht="18.75" customHeight="1" x14ac:dyDescent="0.3">
      <c r="A3" s="37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s="142" customFormat="1" ht="18.75" customHeight="1" x14ac:dyDescent="0.3">
      <c r="A4" s="94"/>
      <c r="B4" s="113"/>
      <c r="C4" s="113"/>
      <c r="D4" s="113"/>
      <c r="E4" s="113"/>
      <c r="F4" s="517"/>
      <c r="G4" s="517"/>
      <c r="H4" s="517"/>
      <c r="I4" s="517"/>
      <c r="J4" s="517"/>
      <c r="K4" s="517"/>
      <c r="L4" s="517"/>
    </row>
    <row r="5" spans="1:12" s="141" customFormat="1" ht="18.75" customHeight="1" x14ac:dyDescent="0.3">
      <c r="A5" s="59" t="s">
        <v>172</v>
      </c>
      <c r="B5" s="38">
        <v>500</v>
      </c>
      <c r="C5" s="38">
        <v>1000</v>
      </c>
      <c r="D5" s="38">
        <v>1000</v>
      </c>
      <c r="E5" s="38">
        <v>500</v>
      </c>
      <c r="F5" s="477">
        <v>500</v>
      </c>
      <c r="G5" s="477">
        <v>0</v>
      </c>
      <c r="H5" s="477">
        <v>0</v>
      </c>
      <c r="I5" s="477">
        <v>700</v>
      </c>
      <c r="J5" s="477">
        <v>700</v>
      </c>
      <c r="K5" s="477">
        <v>700</v>
      </c>
      <c r="L5" s="477">
        <v>700</v>
      </c>
    </row>
    <row r="6" spans="1:12" ht="18.75" customHeight="1" x14ac:dyDescent="0.3">
      <c r="A6" s="65" t="s">
        <v>489</v>
      </c>
      <c r="B6" s="38">
        <v>15500</v>
      </c>
      <c r="C6" s="38">
        <v>12000</v>
      </c>
      <c r="D6" s="400">
        <v>12000</v>
      </c>
      <c r="E6" s="400">
        <v>15000</v>
      </c>
      <c r="F6" s="476">
        <v>12000</v>
      </c>
      <c r="G6" s="476">
        <v>12000</v>
      </c>
      <c r="H6" s="476">
        <v>14000</v>
      </c>
      <c r="I6" s="476">
        <v>15000</v>
      </c>
      <c r="J6" s="476">
        <v>16000</v>
      </c>
      <c r="K6" s="476">
        <v>16000</v>
      </c>
      <c r="L6" s="476">
        <f>16000*1.03</f>
        <v>16480</v>
      </c>
    </row>
    <row r="7" spans="1:12" ht="18.75" hidden="1" customHeight="1" x14ac:dyDescent="0.3">
      <c r="A7" s="59" t="s">
        <v>173</v>
      </c>
      <c r="B7" s="38">
        <v>1000</v>
      </c>
      <c r="C7" s="38">
        <v>2000</v>
      </c>
      <c r="D7" s="38">
        <v>4000</v>
      </c>
      <c r="E7" s="400"/>
      <c r="F7" s="476">
        <v>0</v>
      </c>
      <c r="G7" s="476">
        <v>0</v>
      </c>
      <c r="H7" s="476">
        <v>0</v>
      </c>
      <c r="I7" s="476">
        <v>0</v>
      </c>
      <c r="J7" s="476">
        <v>0</v>
      </c>
      <c r="K7" s="476">
        <v>0</v>
      </c>
      <c r="L7" s="476">
        <v>0</v>
      </c>
    </row>
    <row r="8" spans="1:12" ht="18.75" customHeight="1" x14ac:dyDescent="0.3">
      <c r="A8" s="59" t="s">
        <v>516</v>
      </c>
      <c r="B8" s="38">
        <v>10000</v>
      </c>
      <c r="C8" s="38">
        <v>10000</v>
      </c>
      <c r="D8" s="38">
        <v>10000</v>
      </c>
      <c r="E8" s="38">
        <v>9000</v>
      </c>
      <c r="F8" s="477">
        <v>8000</v>
      </c>
      <c r="G8" s="477">
        <v>8000</v>
      </c>
      <c r="H8" s="477">
        <v>8000</v>
      </c>
      <c r="I8" s="477">
        <v>8000</v>
      </c>
      <c r="J8" s="477">
        <v>8000</v>
      </c>
      <c r="K8" s="477">
        <v>8000</v>
      </c>
      <c r="L8" s="477">
        <v>8000</v>
      </c>
    </row>
    <row r="9" spans="1:12" ht="18.75" customHeight="1" x14ac:dyDescent="0.3">
      <c r="A9" s="59" t="s">
        <v>272</v>
      </c>
      <c r="B9" s="58">
        <v>20000</v>
      </c>
      <c r="C9" s="58">
        <v>16000</v>
      </c>
      <c r="D9" s="58">
        <f>1000*12</f>
        <v>12000</v>
      </c>
      <c r="E9" s="58">
        <f>1000*12</f>
        <v>12000</v>
      </c>
      <c r="F9" s="466">
        <f>1000*12</f>
        <v>12000</v>
      </c>
      <c r="G9" s="466">
        <f>1000*12</f>
        <v>12000</v>
      </c>
      <c r="H9" s="466">
        <f>1000*12</f>
        <v>12000</v>
      </c>
      <c r="I9" s="466">
        <f>1100*12</f>
        <v>13200</v>
      </c>
      <c r="J9" s="466">
        <f>1150*12</f>
        <v>13800</v>
      </c>
      <c r="K9" s="466">
        <f>1150*12</f>
        <v>13800</v>
      </c>
      <c r="L9" s="466">
        <f>1000*12</f>
        <v>12000</v>
      </c>
    </row>
    <row r="10" spans="1:12" ht="18.75" customHeight="1" x14ac:dyDescent="0.3">
      <c r="A10" s="59" t="s">
        <v>624</v>
      </c>
      <c r="B10" s="203"/>
      <c r="C10" s="58"/>
      <c r="D10" s="58"/>
      <c r="E10" s="58"/>
      <c r="F10" s="466"/>
      <c r="G10" s="466"/>
      <c r="H10" s="466"/>
      <c r="I10" s="466"/>
      <c r="J10" s="466">
        <v>150000</v>
      </c>
      <c r="K10" s="466"/>
      <c r="L10" s="466"/>
    </row>
    <row r="11" spans="1:12" ht="18.75" customHeight="1" x14ac:dyDescent="0.3">
      <c r="A11" s="360" t="s">
        <v>631</v>
      </c>
      <c r="B11" s="203"/>
      <c r="C11" s="58"/>
      <c r="D11" s="58"/>
      <c r="E11" s="58"/>
      <c r="F11" s="466"/>
      <c r="G11" s="466"/>
      <c r="H11" s="466"/>
      <c r="I11" s="466"/>
      <c r="J11" s="466"/>
      <c r="K11" s="466">
        <v>500000</v>
      </c>
      <c r="L11" s="466">
        <v>0</v>
      </c>
    </row>
    <row r="12" spans="1:12" ht="18.75" customHeight="1" x14ac:dyDescent="0.3">
      <c r="A12" s="356"/>
      <c r="B12" s="58"/>
      <c r="C12" s="58"/>
      <c r="D12" s="58"/>
      <c r="E12" s="58"/>
      <c r="F12" s="466"/>
      <c r="G12" s="466"/>
      <c r="H12" s="466"/>
      <c r="I12" s="466"/>
      <c r="J12" s="466"/>
      <c r="K12" s="466"/>
      <c r="L12" s="466"/>
    </row>
    <row r="13" spans="1:12" ht="18.75" customHeight="1" thickBot="1" x14ac:dyDescent="0.35">
      <c r="A13" s="356"/>
      <c r="B13" s="239">
        <v>-15000</v>
      </c>
      <c r="C13" s="239"/>
      <c r="D13" s="239"/>
      <c r="E13" s="239"/>
      <c r="F13" s="569"/>
      <c r="G13" s="569"/>
      <c r="H13" s="569"/>
      <c r="I13" s="569"/>
      <c r="J13" s="569"/>
      <c r="K13" s="569"/>
      <c r="L13" s="569"/>
    </row>
    <row r="14" spans="1:12" ht="18.75" customHeight="1" thickTop="1" x14ac:dyDescent="0.3">
      <c r="A14" s="99" t="s">
        <v>84</v>
      </c>
      <c r="B14" s="205">
        <f t="shared" ref="B14:H14" si="0">SUM(B4:B13)</f>
        <v>32000</v>
      </c>
      <c r="C14" s="205">
        <f t="shared" si="0"/>
        <v>41000</v>
      </c>
      <c r="D14" s="205">
        <f t="shared" si="0"/>
        <v>39000</v>
      </c>
      <c r="E14" s="205">
        <f t="shared" si="0"/>
        <v>36500</v>
      </c>
      <c r="F14" s="575">
        <f t="shared" si="0"/>
        <v>32500</v>
      </c>
      <c r="G14" s="575">
        <f>SUM(G4:G13)</f>
        <v>32000</v>
      </c>
      <c r="H14" s="575">
        <f t="shared" si="0"/>
        <v>34000</v>
      </c>
      <c r="I14" s="575">
        <f>SUM(I4:I13)</f>
        <v>36900</v>
      </c>
      <c r="J14" s="575">
        <f>SUM(J4:J13)</f>
        <v>188500</v>
      </c>
      <c r="K14" s="575">
        <f>SUM(K4:K13)</f>
        <v>538500</v>
      </c>
      <c r="L14" s="575">
        <f>SUM(L4:L13)</f>
        <v>37180</v>
      </c>
    </row>
    <row r="15" spans="1:12" ht="18.75" customHeight="1" x14ac:dyDescent="0.3">
      <c r="A15" s="107"/>
      <c r="B15" s="107"/>
      <c r="C15" s="24"/>
      <c r="D15" s="24"/>
    </row>
    <row r="16" spans="1:12" ht="18.75" customHeight="1" x14ac:dyDescent="0.2">
      <c r="A16" s="145"/>
      <c r="B16" s="145"/>
    </row>
    <row r="17" spans="1:2" ht="18.75" customHeight="1" x14ac:dyDescent="0.2">
      <c r="A17" s="145"/>
      <c r="B17" s="145"/>
    </row>
    <row r="18" spans="1:2" ht="18.75" customHeight="1" x14ac:dyDescent="0.2">
      <c r="A18" s="145"/>
      <c r="B18" s="145"/>
    </row>
    <row r="19" spans="1:2" ht="18.75" customHeight="1" x14ac:dyDescent="0.2">
      <c r="A19" s="145"/>
      <c r="B19" s="145"/>
    </row>
    <row r="20" spans="1:2" ht="18.75" customHeight="1" x14ac:dyDescent="0.2">
      <c r="A20" s="145"/>
      <c r="B20" s="145"/>
    </row>
    <row r="21" spans="1:2" ht="18.75" customHeight="1" x14ac:dyDescent="0.2">
      <c r="A21" s="145"/>
      <c r="B21" s="145"/>
    </row>
    <row r="22" spans="1:2" ht="18.75" customHeight="1" x14ac:dyDescent="0.2">
      <c r="A22" s="145"/>
      <c r="B22" s="145"/>
    </row>
    <row r="23" spans="1:2" ht="18.75" customHeight="1" x14ac:dyDescent="0.2">
      <c r="A23" s="145"/>
      <c r="B23" s="145"/>
    </row>
    <row r="24" spans="1:2" ht="18.75" customHeight="1" x14ac:dyDescent="0.2">
      <c r="A24" s="145"/>
      <c r="B24" s="145"/>
    </row>
    <row r="25" spans="1:2" ht="18.75" customHeight="1" x14ac:dyDescent="0.2">
      <c r="A25" s="145"/>
      <c r="B25" s="145"/>
    </row>
    <row r="26" spans="1:2" ht="18.75" customHeight="1" x14ac:dyDescent="0.2">
      <c r="A26" s="145"/>
      <c r="B26" s="145"/>
    </row>
    <row r="27" spans="1:2" ht="18.75" customHeight="1" x14ac:dyDescent="0.2">
      <c r="A27" s="145"/>
      <c r="B27" s="145"/>
    </row>
    <row r="28" spans="1:2" ht="18.75" customHeight="1" x14ac:dyDescent="0.2">
      <c r="A28" s="145"/>
      <c r="B28" s="145"/>
    </row>
    <row r="29" spans="1:2" ht="18.75" customHeight="1" x14ac:dyDescent="0.2">
      <c r="A29" s="145"/>
      <c r="B29" s="145"/>
    </row>
  </sheetData>
  <sortState ref="A6:E10">
    <sortCondition ref="A5"/>
  </sortState>
  <phoneticPr fontId="18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2"/>
  <cols>
    <col min="1" max="1" width="39.7109375" style="13" bestFit="1" customWidth="1"/>
    <col min="2" max="2" width="10.85546875" style="14" hidden="1" customWidth="1"/>
    <col min="3" max="8" width="10.85546875" style="92" hidden="1" customWidth="1"/>
    <col min="9" max="9" width="0" style="92" hidden="1" customWidth="1"/>
    <col min="10" max="16384" width="9.140625" style="92"/>
  </cols>
  <sheetData>
    <row r="1" spans="1:12" s="141" customFormat="1" ht="18.75" customHeight="1" x14ac:dyDescent="0.3">
      <c r="A1" s="175" t="s">
        <v>422</v>
      </c>
      <c r="B1" s="162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customHeight="1" x14ac:dyDescent="0.3">
      <c r="A2" s="94"/>
      <c r="B2" s="45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141" customFormat="1" ht="18.75" customHeight="1" x14ac:dyDescent="0.3">
      <c r="A3" s="37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s="142" customFormat="1" ht="18.75" customHeight="1" x14ac:dyDescent="0.3">
      <c r="A4" s="113"/>
      <c r="B4" s="97"/>
      <c r="C4" s="97"/>
      <c r="D4" s="97"/>
      <c r="E4" s="97"/>
      <c r="F4" s="513"/>
      <c r="G4" s="513"/>
      <c r="H4" s="513"/>
      <c r="I4" s="513"/>
      <c r="J4" s="513"/>
      <c r="K4" s="513"/>
      <c r="L4" s="513"/>
    </row>
    <row r="5" spans="1:12" s="142" customFormat="1" ht="18.75" customHeight="1" x14ac:dyDescent="0.3">
      <c r="A5" s="59"/>
      <c r="B5" s="38"/>
      <c r="C5" s="38"/>
      <c r="D5" s="38"/>
      <c r="E5" s="38"/>
      <c r="F5" s="477"/>
      <c r="G5" s="477"/>
      <c r="H5" s="477"/>
      <c r="I5" s="477"/>
      <c r="J5" s="477"/>
      <c r="K5" s="477"/>
      <c r="L5" s="477"/>
    </row>
    <row r="6" spans="1:12" s="142" customFormat="1" ht="18.75" customHeight="1" x14ac:dyDescent="0.3">
      <c r="A6" s="106" t="s">
        <v>648</v>
      </c>
      <c r="B6" s="38">
        <v>7500</v>
      </c>
      <c r="C6" s="38">
        <v>8000</v>
      </c>
      <c r="D6" s="38">
        <v>8000</v>
      </c>
      <c r="E6" s="38">
        <v>8000</v>
      </c>
      <c r="F6" s="477">
        <v>8600</v>
      </c>
      <c r="G6" s="477">
        <v>7500</v>
      </c>
      <c r="H6" s="477">
        <v>7800</v>
      </c>
      <c r="I6" s="477">
        <v>7800</v>
      </c>
      <c r="J6" s="477">
        <v>7800</v>
      </c>
      <c r="K6" s="477">
        <v>7800</v>
      </c>
      <c r="L6" s="477">
        <v>750</v>
      </c>
    </row>
    <row r="7" spans="1:12" s="142" customFormat="1" ht="18.75" customHeight="1" x14ac:dyDescent="0.3">
      <c r="A7" s="59" t="s">
        <v>375</v>
      </c>
      <c r="B7" s="38">
        <v>100</v>
      </c>
      <c r="C7" s="38">
        <v>100</v>
      </c>
      <c r="D7" s="38">
        <v>125</v>
      </c>
      <c r="E7" s="38">
        <v>130</v>
      </c>
      <c r="F7" s="477">
        <v>150</v>
      </c>
      <c r="G7" s="477">
        <v>0</v>
      </c>
      <c r="H7" s="477">
        <v>0</v>
      </c>
      <c r="I7" s="477">
        <v>0</v>
      </c>
      <c r="J7" s="477">
        <v>0</v>
      </c>
      <c r="K7" s="477">
        <f>3*15</f>
        <v>45</v>
      </c>
      <c r="L7" s="477">
        <f>3*15</f>
        <v>45</v>
      </c>
    </row>
    <row r="8" spans="1:12" ht="18.75" hidden="1" customHeight="1" x14ac:dyDescent="0.3">
      <c r="A8" s="65" t="s">
        <v>539</v>
      </c>
      <c r="B8" s="38"/>
      <c r="C8" s="38"/>
      <c r="D8" s="38"/>
      <c r="E8" s="38"/>
      <c r="F8" s="477"/>
      <c r="G8" s="477"/>
      <c r="H8" s="477">
        <v>50000</v>
      </c>
      <c r="I8" s="477">
        <v>0</v>
      </c>
      <c r="J8" s="477"/>
      <c r="K8" s="477"/>
      <c r="L8" s="477"/>
    </row>
    <row r="9" spans="1:12" ht="18.75" customHeight="1" x14ac:dyDescent="0.3">
      <c r="A9" s="51"/>
      <c r="B9" s="358"/>
      <c r="C9" s="203"/>
      <c r="D9" s="203"/>
      <c r="E9" s="203"/>
      <c r="F9" s="576"/>
      <c r="G9" s="576"/>
      <c r="H9" s="576"/>
      <c r="I9" s="576"/>
      <c r="J9" s="576"/>
      <c r="K9" s="576"/>
      <c r="L9" s="576"/>
    </row>
    <row r="10" spans="1:12" ht="18.75" customHeight="1" x14ac:dyDescent="0.3">
      <c r="A10" s="51"/>
      <c r="B10" s="359"/>
      <c r="C10" s="357"/>
      <c r="D10" s="357"/>
      <c r="E10" s="357"/>
      <c r="F10" s="577"/>
      <c r="G10" s="577"/>
      <c r="H10" s="577"/>
      <c r="I10" s="577"/>
      <c r="J10" s="577"/>
      <c r="K10" s="577"/>
      <c r="L10" s="577"/>
    </row>
    <row r="11" spans="1:12" ht="18.75" customHeight="1" x14ac:dyDescent="0.3">
      <c r="A11" s="51"/>
      <c r="B11" s="359"/>
      <c r="C11" s="357"/>
      <c r="D11" s="357"/>
      <c r="E11" s="357"/>
      <c r="F11" s="577"/>
      <c r="G11" s="577"/>
      <c r="H11" s="577"/>
      <c r="I11" s="577"/>
      <c r="J11" s="577"/>
      <c r="K11" s="577"/>
      <c r="L11" s="577"/>
    </row>
    <row r="12" spans="1:12" ht="18.75" customHeight="1" thickBot="1" x14ac:dyDescent="0.35">
      <c r="A12" s="51"/>
      <c r="B12" s="103">
        <v>-7600</v>
      </c>
      <c r="C12" s="103"/>
      <c r="D12" s="103"/>
      <c r="E12" s="103"/>
      <c r="F12" s="556"/>
      <c r="G12" s="556"/>
      <c r="H12" s="556"/>
      <c r="I12" s="556"/>
      <c r="J12" s="556"/>
      <c r="K12" s="556"/>
      <c r="L12" s="556"/>
    </row>
    <row r="13" spans="1:12" s="141" customFormat="1" ht="18.75" customHeight="1" thickTop="1" x14ac:dyDescent="0.3">
      <c r="A13" s="99" t="s">
        <v>84</v>
      </c>
      <c r="B13" s="40">
        <f t="shared" ref="B13:H13" si="0">SUM(B4:B12)</f>
        <v>0</v>
      </c>
      <c r="C13" s="40">
        <f t="shared" si="0"/>
        <v>8100</v>
      </c>
      <c r="D13" s="40">
        <f t="shared" si="0"/>
        <v>8125</v>
      </c>
      <c r="E13" s="40">
        <f t="shared" si="0"/>
        <v>8130</v>
      </c>
      <c r="F13" s="480">
        <f t="shared" si="0"/>
        <v>8750</v>
      </c>
      <c r="G13" s="480">
        <f>SUM(G4:G12)</f>
        <v>7500</v>
      </c>
      <c r="H13" s="480">
        <f t="shared" si="0"/>
        <v>57800</v>
      </c>
      <c r="I13" s="480">
        <f>SUM(I4:I12)</f>
        <v>7800</v>
      </c>
      <c r="J13" s="480">
        <f>SUM(J4:J12)</f>
        <v>7800</v>
      </c>
      <c r="K13" s="480">
        <f>SUM(K4:K12)</f>
        <v>7845</v>
      </c>
      <c r="L13" s="480">
        <f>SUM(L4:L12)</f>
        <v>795</v>
      </c>
    </row>
    <row r="14" spans="1:12" ht="18.75" customHeight="1" x14ac:dyDescent="0.3">
      <c r="A14" s="93"/>
      <c r="B14" s="41"/>
      <c r="C14" s="24"/>
    </row>
    <row r="15" spans="1:12" ht="18.75" customHeight="1" x14ac:dyDescent="0.3">
      <c r="A15" s="93"/>
      <c r="B15" s="41"/>
      <c r="C15" s="24"/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/>
  </sheetViews>
  <sheetFormatPr defaultColWidth="9.140625" defaultRowHeight="14.25" x14ac:dyDescent="0.2"/>
  <cols>
    <col min="1" max="1" width="33.140625" style="145" bestFit="1" customWidth="1"/>
    <col min="2" max="8" width="11.7109375" style="145" hidden="1" customWidth="1"/>
    <col min="9" max="9" width="0" style="145" hidden="1" customWidth="1"/>
    <col min="10" max="16384" width="9.140625" style="145"/>
  </cols>
  <sheetData>
    <row r="1" spans="1:12" ht="21" customHeight="1" x14ac:dyDescent="0.3">
      <c r="A1" s="407" t="s">
        <v>397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6.5" customHeight="1" x14ac:dyDescent="0.3">
      <c r="A2" s="15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7.25" customHeight="1" x14ac:dyDescent="0.3">
      <c r="A3" s="154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ht="18" customHeight="1" x14ac:dyDescent="0.3">
      <c r="A4" s="153"/>
      <c r="B4" s="97"/>
      <c r="C4" s="677"/>
      <c r="D4" s="677"/>
      <c r="E4" s="677"/>
      <c r="F4" s="677"/>
      <c r="G4" s="677"/>
      <c r="H4" s="677"/>
      <c r="I4" s="677"/>
      <c r="J4" s="677"/>
      <c r="K4" s="677"/>
      <c r="L4" s="677"/>
    </row>
    <row r="5" spans="1:12" ht="16.5" x14ac:dyDescent="0.3">
      <c r="A5" s="155" t="s">
        <v>18</v>
      </c>
      <c r="B5" s="38">
        <v>28381.3</v>
      </c>
      <c r="C5" s="678">
        <v>32891.56</v>
      </c>
      <c r="D5" s="678">
        <f>REVENUE!E7*0.02</f>
        <v>33713.840000000004</v>
      </c>
      <c r="E5" s="678">
        <f>REVENUE!F7*0.02</f>
        <v>43741.98</v>
      </c>
      <c r="F5" s="679">
        <f>REVENUE!G7*0.02</f>
        <v>47827.66</v>
      </c>
      <c r="G5" s="680">
        <f>REVENUE!H7*0.02</f>
        <v>49740.766400000008</v>
      </c>
      <c r="H5" s="680">
        <f>REVENUE!I7*0.02</f>
        <v>51979.100888000001</v>
      </c>
      <c r="I5" s="680">
        <f>REVENUE!J7*0.02</f>
        <v>43671.055932400006</v>
      </c>
      <c r="J5" s="680">
        <f>REVENUE!K7*0.02</f>
        <v>60554.6</v>
      </c>
      <c r="K5" s="680">
        <f>REVENUE!L7*0.02</f>
        <v>60554.6</v>
      </c>
      <c r="L5" s="680">
        <f>REVENUE!M7*0.02</f>
        <v>78601.107199999999</v>
      </c>
    </row>
    <row r="6" spans="1:12" ht="16.5" x14ac:dyDescent="0.3">
      <c r="A6" s="155" t="s">
        <v>357</v>
      </c>
      <c r="B6" s="38">
        <v>200</v>
      </c>
      <c r="C6" s="678">
        <v>200</v>
      </c>
      <c r="D6" s="678">
        <v>50</v>
      </c>
      <c r="E6" s="678">
        <v>25</v>
      </c>
      <c r="F6" s="679"/>
      <c r="G6" s="680"/>
      <c r="H6" s="680"/>
      <c r="I6" s="680"/>
      <c r="J6" s="680"/>
      <c r="K6" s="680"/>
      <c r="L6" s="680"/>
    </row>
    <row r="7" spans="1:12" ht="16.5" hidden="1" x14ac:dyDescent="0.3">
      <c r="A7" s="155" t="s">
        <v>26</v>
      </c>
      <c r="B7" s="58">
        <v>12000</v>
      </c>
      <c r="C7" s="347">
        <v>0</v>
      </c>
      <c r="D7" s="347"/>
      <c r="E7" s="347"/>
      <c r="F7" s="537"/>
      <c r="G7" s="540"/>
      <c r="H7" s="540"/>
      <c r="I7" s="540"/>
      <c r="J7" s="540"/>
      <c r="K7" s="540"/>
      <c r="L7" s="540"/>
    </row>
    <row r="8" spans="1:12" ht="16.5" x14ac:dyDescent="0.3">
      <c r="A8" s="338"/>
      <c r="B8" s="58"/>
      <c r="C8" s="347"/>
      <c r="D8" s="347"/>
      <c r="E8" s="347"/>
      <c r="F8" s="537"/>
      <c r="G8" s="540"/>
      <c r="H8" s="540"/>
      <c r="I8" s="540"/>
      <c r="J8" s="540"/>
      <c r="K8" s="540"/>
      <c r="L8" s="540"/>
    </row>
    <row r="9" spans="1:12" ht="16.5" x14ac:dyDescent="0.3">
      <c r="A9" s="338"/>
      <c r="B9" s="58"/>
      <c r="C9" s="347"/>
      <c r="D9" s="347"/>
      <c r="E9" s="347"/>
      <c r="F9" s="537"/>
      <c r="G9" s="540"/>
      <c r="H9" s="540"/>
      <c r="I9" s="540"/>
      <c r="J9" s="540"/>
      <c r="K9" s="540"/>
      <c r="L9" s="540"/>
    </row>
    <row r="10" spans="1:12" ht="16.5" x14ac:dyDescent="0.3">
      <c r="A10" s="380"/>
      <c r="B10" s="103"/>
      <c r="C10" s="348"/>
      <c r="D10" s="348"/>
      <c r="E10" s="348"/>
      <c r="F10" s="535"/>
      <c r="G10" s="536"/>
      <c r="H10" s="536"/>
      <c r="I10" s="536"/>
      <c r="J10" s="536"/>
      <c r="K10" s="536"/>
      <c r="L10" s="536"/>
    </row>
    <row r="11" spans="1:12" ht="16.5" x14ac:dyDescent="0.3">
      <c r="A11" s="343"/>
      <c r="B11" s="350">
        <v>3041.01</v>
      </c>
      <c r="C11" s="681"/>
      <c r="D11" s="681"/>
      <c r="E11" s="681"/>
      <c r="F11" s="682"/>
      <c r="G11" s="683"/>
      <c r="H11" s="683"/>
      <c r="I11" s="683"/>
      <c r="J11" s="683"/>
      <c r="K11" s="683"/>
      <c r="L11" s="683"/>
    </row>
    <row r="12" spans="1:12" ht="16.5" x14ac:dyDescent="0.3">
      <c r="A12" s="342" t="s">
        <v>110</v>
      </c>
      <c r="B12" s="684">
        <f>SUM(B4:B10)</f>
        <v>40581.300000000003</v>
      </c>
      <c r="C12" s="684">
        <f>SUM(C4:C10)</f>
        <v>33091.56</v>
      </c>
      <c r="D12" s="684">
        <f>SUM(D4:D11)</f>
        <v>33763.840000000004</v>
      </c>
      <c r="E12" s="684">
        <f t="shared" ref="E12:J12" si="0">SUM(E4:E10)</f>
        <v>43766.98</v>
      </c>
      <c r="F12" s="685">
        <f t="shared" si="0"/>
        <v>47827.66</v>
      </c>
      <c r="G12" s="685">
        <f t="shared" si="0"/>
        <v>49740.766400000008</v>
      </c>
      <c r="H12" s="685">
        <f t="shared" si="0"/>
        <v>51979.100888000001</v>
      </c>
      <c r="I12" s="685">
        <f t="shared" si="0"/>
        <v>43671.055932400006</v>
      </c>
      <c r="J12" s="685">
        <f t="shared" si="0"/>
        <v>60554.6</v>
      </c>
      <c r="K12" s="685">
        <f>SUM(K4:K10)</f>
        <v>60554.6</v>
      </c>
      <c r="L12" s="685">
        <f>SUM(L4:L10)</f>
        <v>78601.107199999999</v>
      </c>
    </row>
    <row r="13" spans="1:12" ht="16.5" x14ac:dyDescent="0.3">
      <c r="A13" s="158"/>
      <c r="B13" s="107"/>
    </row>
    <row r="14" spans="1:12" ht="16.5" x14ac:dyDescent="0.3">
      <c r="A14" s="107"/>
      <c r="B14" s="107"/>
    </row>
    <row r="15" spans="1:12" ht="16.5" x14ac:dyDescent="0.3">
      <c r="A15" s="107"/>
      <c r="B15" s="107"/>
    </row>
    <row r="17" spans="1:1" ht="16.5" x14ac:dyDescent="0.3">
      <c r="A17" s="240"/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/>
  </sheetViews>
  <sheetFormatPr defaultColWidth="9.140625" defaultRowHeight="18.75" customHeight="1" x14ac:dyDescent="0.3"/>
  <cols>
    <col min="1" max="1" width="32.42578125" style="93" bestFit="1" customWidth="1"/>
    <col min="2" max="4" width="10.7109375" style="24" hidden="1" customWidth="1"/>
    <col min="5" max="8" width="11.28515625" style="24" hidden="1" customWidth="1"/>
    <col min="9" max="9" width="10" style="24" hidden="1" customWidth="1"/>
    <col min="10" max="16384" width="9.140625" style="24"/>
  </cols>
  <sheetData>
    <row r="1" spans="1:12" s="42" customFormat="1" ht="18.75" customHeight="1" x14ac:dyDescent="0.3">
      <c r="A1" s="175" t="s">
        <v>423</v>
      </c>
      <c r="B1" s="162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customHeight="1" x14ac:dyDescent="0.3">
      <c r="A2" s="94"/>
      <c r="B2" s="45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42" customFormat="1" ht="16.5" x14ac:dyDescent="0.3">
      <c r="A3" s="37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s="42" customFormat="1" ht="16.5" x14ac:dyDescent="0.3">
      <c r="A4" s="50" t="s">
        <v>616</v>
      </c>
      <c r="B4" s="38">
        <v>1200</v>
      </c>
      <c r="C4" s="38">
        <v>2250</v>
      </c>
      <c r="D4" s="400">
        <f>230*12</f>
        <v>2760</v>
      </c>
      <c r="E4" s="400">
        <f>265*12</f>
        <v>3180</v>
      </c>
      <c r="F4" s="476">
        <f t="shared" ref="F4:L4" si="0">380*12</f>
        <v>4560</v>
      </c>
      <c r="G4" s="476">
        <f t="shared" si="0"/>
        <v>4560</v>
      </c>
      <c r="H4" s="476">
        <f t="shared" si="0"/>
        <v>4560</v>
      </c>
      <c r="I4" s="476">
        <f t="shared" si="0"/>
        <v>4560</v>
      </c>
      <c r="J4" s="476">
        <f t="shared" si="0"/>
        <v>4560</v>
      </c>
      <c r="K4" s="476">
        <f t="shared" si="0"/>
        <v>4560</v>
      </c>
      <c r="L4" s="476">
        <f t="shared" si="0"/>
        <v>4560</v>
      </c>
    </row>
    <row r="5" spans="1:12" s="42" customFormat="1" ht="18.75" customHeight="1" x14ac:dyDescent="0.3">
      <c r="A5" s="50" t="s">
        <v>363</v>
      </c>
      <c r="B5" s="38">
        <v>4200</v>
      </c>
      <c r="C5" s="38">
        <v>3000</v>
      </c>
      <c r="D5" s="400">
        <f>250*12</f>
        <v>3000</v>
      </c>
      <c r="E5" s="400">
        <f>230*12</f>
        <v>2760</v>
      </c>
      <c r="F5" s="476">
        <f>200*12</f>
        <v>2400</v>
      </c>
      <c r="G5" s="476">
        <f>200*12</f>
        <v>2400</v>
      </c>
      <c r="H5" s="476">
        <f>300*12</f>
        <v>3600</v>
      </c>
      <c r="I5" s="476">
        <f>(250*12)+(800*3)</f>
        <v>5400</v>
      </c>
      <c r="J5" s="476">
        <f>(250*12)</f>
        <v>3000</v>
      </c>
      <c r="K5" s="476">
        <f>(250*12)</f>
        <v>3000</v>
      </c>
      <c r="L5" s="476">
        <f>(400*12)</f>
        <v>4800</v>
      </c>
    </row>
    <row r="6" spans="1:12" ht="18.75" hidden="1" customHeight="1" x14ac:dyDescent="0.3">
      <c r="A6" s="50" t="s">
        <v>259</v>
      </c>
      <c r="B6" s="38">
        <v>400</v>
      </c>
      <c r="C6" s="38">
        <v>200</v>
      </c>
      <c r="D6" s="38">
        <v>200</v>
      </c>
      <c r="E6" s="38">
        <v>200</v>
      </c>
      <c r="F6" s="477">
        <v>100</v>
      </c>
      <c r="G6" s="477"/>
      <c r="H6" s="477"/>
      <c r="I6" s="477"/>
      <c r="J6" s="477"/>
      <c r="K6" s="477"/>
      <c r="L6" s="477"/>
    </row>
    <row r="7" spans="1:12" s="42" customFormat="1" ht="18.75" hidden="1" customHeight="1" x14ac:dyDescent="0.3">
      <c r="A7" s="50" t="s">
        <v>456</v>
      </c>
      <c r="B7" s="38">
        <v>4200</v>
      </c>
      <c r="C7" s="38">
        <v>4080</v>
      </c>
      <c r="D7" s="400">
        <f>45*8*12</f>
        <v>4320</v>
      </c>
      <c r="E7" s="400">
        <f>45*8*12</f>
        <v>4320</v>
      </c>
      <c r="F7" s="476">
        <f>(15*189)+(15*189)+(5*189)</f>
        <v>6615</v>
      </c>
      <c r="G7" s="476"/>
      <c r="H7" s="476"/>
      <c r="I7" s="476"/>
      <c r="J7" s="476"/>
      <c r="K7" s="476"/>
      <c r="L7" s="476"/>
    </row>
    <row r="8" spans="1:12" ht="18.75" customHeight="1" x14ac:dyDescent="0.3">
      <c r="A8" s="59" t="s">
        <v>457</v>
      </c>
      <c r="B8" s="58"/>
      <c r="C8" s="58"/>
      <c r="D8" s="58"/>
      <c r="E8" s="58"/>
      <c r="F8" s="466">
        <f>(10*2*12)+(100000*0.01)</f>
        <v>1240</v>
      </c>
      <c r="G8" s="466">
        <f>(10*2*12)+(100000*0.01)</f>
        <v>1240</v>
      </c>
      <c r="H8" s="466">
        <f>(10*3*12)+(100000*0.01)</f>
        <v>1360</v>
      </c>
      <c r="I8" s="466">
        <f>(10*3*12)+(100000*0.01)</f>
        <v>1360</v>
      </c>
      <c r="J8" s="466">
        <f>(10*3*12)+(100000*0.01)</f>
        <v>1360</v>
      </c>
      <c r="K8" s="466">
        <f>(10*3*12)+(100000*0.01)</f>
        <v>1360</v>
      </c>
      <c r="L8" s="466">
        <f>(10*3*12)+(100000*0.01)</f>
        <v>1360</v>
      </c>
    </row>
    <row r="9" spans="1:12" ht="18.75" customHeight="1" x14ac:dyDescent="0.3">
      <c r="A9" s="59"/>
      <c r="B9" s="58"/>
      <c r="C9" s="58"/>
      <c r="D9" s="58"/>
      <c r="E9" s="58"/>
      <c r="F9" s="466"/>
      <c r="G9" s="466"/>
      <c r="H9" s="466"/>
      <c r="I9" s="466"/>
      <c r="J9" s="466"/>
      <c r="K9" s="466"/>
      <c r="L9" s="466"/>
    </row>
    <row r="10" spans="1:12" ht="18.75" customHeight="1" x14ac:dyDescent="0.3">
      <c r="A10" s="94"/>
      <c r="B10" s="58"/>
      <c r="C10" s="58"/>
      <c r="D10" s="58"/>
      <c r="E10" s="58"/>
      <c r="F10" s="466"/>
      <c r="G10" s="466"/>
      <c r="H10" s="466"/>
      <c r="I10" s="466"/>
      <c r="J10" s="466"/>
      <c r="K10" s="466"/>
      <c r="L10" s="466"/>
    </row>
    <row r="11" spans="1:12" ht="18.75" customHeight="1" x14ac:dyDescent="0.3">
      <c r="A11" s="59"/>
      <c r="B11" s="58">
        <v>300</v>
      </c>
      <c r="C11" s="58"/>
      <c r="D11" s="58"/>
      <c r="E11" s="58"/>
      <c r="F11" s="466"/>
      <c r="G11" s="466"/>
      <c r="H11" s="466"/>
      <c r="I11" s="466"/>
      <c r="J11" s="466"/>
      <c r="K11" s="466"/>
      <c r="L11" s="466"/>
    </row>
    <row r="12" spans="1:12" ht="18.75" customHeight="1" x14ac:dyDescent="0.3">
      <c r="A12" s="99" t="s">
        <v>84</v>
      </c>
      <c r="B12" s="118">
        <f t="shared" ref="B12:H12" si="1">SUM(B4:B11)</f>
        <v>10300</v>
      </c>
      <c r="C12" s="118">
        <f t="shared" si="1"/>
        <v>9530</v>
      </c>
      <c r="D12" s="118">
        <f t="shared" si="1"/>
        <v>10280</v>
      </c>
      <c r="E12" s="118">
        <f t="shared" si="1"/>
        <v>10460</v>
      </c>
      <c r="F12" s="578">
        <f t="shared" si="1"/>
        <v>14915</v>
      </c>
      <c r="G12" s="578">
        <f>SUM(G4:G11)</f>
        <v>8200</v>
      </c>
      <c r="H12" s="578">
        <f t="shared" si="1"/>
        <v>9520</v>
      </c>
      <c r="I12" s="578">
        <f>SUM(I4:I11)</f>
        <v>11320</v>
      </c>
      <c r="J12" s="578">
        <f>SUM(J4:J11)</f>
        <v>8920</v>
      </c>
      <c r="K12" s="578">
        <f>SUM(K4:K11)</f>
        <v>8920</v>
      </c>
      <c r="L12" s="578">
        <f>SUM(L4:L11)</f>
        <v>10720</v>
      </c>
    </row>
    <row r="14" spans="1:12" ht="18.75" customHeight="1" x14ac:dyDescent="0.3">
      <c r="A14" s="16"/>
    </row>
  </sheetData>
  <sortState ref="A5:E7">
    <sortCondition ref="A5:A7"/>
  </sortState>
  <phoneticPr fontId="18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/>
  </sheetViews>
  <sheetFormatPr defaultColWidth="9.140625" defaultRowHeight="18.75" customHeight="1" x14ac:dyDescent="0.2"/>
  <cols>
    <col min="1" max="1" width="31.42578125" style="13" bestFit="1" customWidth="1"/>
    <col min="2" max="2" width="12.28515625" style="14" hidden="1" customWidth="1"/>
    <col min="3" max="8" width="12.28515625" style="92" hidden="1" customWidth="1"/>
    <col min="9" max="9" width="0" style="92" hidden="1" customWidth="1"/>
    <col min="10" max="16384" width="9.140625" style="92"/>
  </cols>
  <sheetData>
    <row r="1" spans="1:12" s="141" customFormat="1" ht="18.75" customHeight="1" x14ac:dyDescent="0.3">
      <c r="A1" s="175" t="s">
        <v>424</v>
      </c>
      <c r="B1" s="162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customHeight="1" x14ac:dyDescent="0.3">
      <c r="A2" s="94"/>
      <c r="B2" s="45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141" customFormat="1" ht="18.75" customHeight="1" x14ac:dyDescent="0.3">
      <c r="A3" s="37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s="141" customFormat="1" ht="18.75" customHeight="1" x14ac:dyDescent="0.3">
      <c r="A4" s="65"/>
      <c r="B4" s="97"/>
      <c r="C4" s="97"/>
      <c r="D4" s="97"/>
      <c r="E4" s="97"/>
      <c r="F4" s="513"/>
      <c r="G4" s="513"/>
      <c r="H4" s="513"/>
      <c r="I4" s="513"/>
      <c r="J4" s="513"/>
      <c r="K4" s="513"/>
      <c r="L4" s="513"/>
    </row>
    <row r="5" spans="1:12" s="141" customFormat="1" ht="18.75" customHeight="1" x14ac:dyDescent="0.25">
      <c r="A5" s="53" t="s">
        <v>327</v>
      </c>
      <c r="B5" s="151">
        <v>15000</v>
      </c>
      <c r="C5" s="151">
        <v>18720</v>
      </c>
      <c r="D5" s="188">
        <v>18720</v>
      </c>
      <c r="E5" s="188">
        <f>1200*12</f>
        <v>14400</v>
      </c>
      <c r="F5" s="519">
        <f t="shared" ref="F5:K5" si="0">1000*12</f>
        <v>12000</v>
      </c>
      <c r="G5" s="519">
        <f t="shared" si="0"/>
        <v>12000</v>
      </c>
      <c r="H5" s="519">
        <f t="shared" si="0"/>
        <v>12000</v>
      </c>
      <c r="I5" s="519">
        <f t="shared" si="0"/>
        <v>12000</v>
      </c>
      <c r="J5" s="519">
        <f t="shared" si="0"/>
        <v>12000</v>
      </c>
      <c r="K5" s="519">
        <f t="shared" si="0"/>
        <v>12000</v>
      </c>
      <c r="L5" s="519">
        <f>800*12</f>
        <v>9600</v>
      </c>
    </row>
    <row r="6" spans="1:12" s="141" customFormat="1" ht="18.75" customHeight="1" x14ac:dyDescent="0.25">
      <c r="A6" s="53" t="s">
        <v>330</v>
      </c>
      <c r="B6" s="151">
        <v>15000</v>
      </c>
      <c r="C6" s="151">
        <v>15600</v>
      </c>
      <c r="D6" s="188">
        <v>15600</v>
      </c>
      <c r="E6" s="188">
        <f>1300*12</f>
        <v>15600</v>
      </c>
      <c r="F6" s="519">
        <f t="shared" ref="F6:K6" si="1">1200*12</f>
        <v>14400</v>
      </c>
      <c r="G6" s="519">
        <f t="shared" si="1"/>
        <v>14400</v>
      </c>
      <c r="H6" s="519">
        <f t="shared" si="1"/>
        <v>14400</v>
      </c>
      <c r="I6" s="519">
        <f t="shared" si="1"/>
        <v>14400</v>
      </c>
      <c r="J6" s="519">
        <f t="shared" si="1"/>
        <v>14400</v>
      </c>
      <c r="K6" s="519">
        <f t="shared" si="1"/>
        <v>14400</v>
      </c>
      <c r="L6" s="519">
        <f>1000*12</f>
        <v>12000</v>
      </c>
    </row>
    <row r="7" spans="1:12" s="141" customFormat="1" ht="18.75" customHeight="1" x14ac:dyDescent="0.25">
      <c r="A7" s="53" t="s">
        <v>430</v>
      </c>
      <c r="B7" s="151">
        <v>1500</v>
      </c>
      <c r="C7" s="151">
        <v>1920</v>
      </c>
      <c r="D7" s="188">
        <v>1940</v>
      </c>
      <c r="E7" s="188">
        <f>200*12</f>
        <v>2400</v>
      </c>
      <c r="F7" s="519">
        <f t="shared" ref="F7:K7" si="2">180*12</f>
        <v>2160</v>
      </c>
      <c r="G7" s="519">
        <f t="shared" si="2"/>
        <v>2160</v>
      </c>
      <c r="H7" s="519">
        <f t="shared" si="2"/>
        <v>2160</v>
      </c>
      <c r="I7" s="519">
        <f t="shared" si="2"/>
        <v>2160</v>
      </c>
      <c r="J7" s="519">
        <f t="shared" si="2"/>
        <v>2160</v>
      </c>
      <c r="K7" s="519">
        <f t="shared" si="2"/>
        <v>2160</v>
      </c>
      <c r="L7" s="519">
        <f>150*12</f>
        <v>1800</v>
      </c>
    </row>
    <row r="8" spans="1:12" s="141" customFormat="1" ht="18.75" customHeight="1" x14ac:dyDescent="0.25">
      <c r="A8" s="53" t="s">
        <v>564</v>
      </c>
      <c r="B8" s="52">
        <v>4000</v>
      </c>
      <c r="C8" s="52">
        <v>5600</v>
      </c>
      <c r="D8" s="54">
        <v>5600</v>
      </c>
      <c r="E8" s="54">
        <f>600*12</f>
        <v>7200</v>
      </c>
      <c r="F8" s="461">
        <f t="shared" ref="F8:K8" si="3">400*12</f>
        <v>4800</v>
      </c>
      <c r="G8" s="461">
        <f t="shared" si="3"/>
        <v>4800</v>
      </c>
      <c r="H8" s="461">
        <f t="shared" si="3"/>
        <v>4800</v>
      </c>
      <c r="I8" s="461">
        <f t="shared" si="3"/>
        <v>4800</v>
      </c>
      <c r="J8" s="461">
        <f t="shared" si="3"/>
        <v>4800</v>
      </c>
      <c r="K8" s="461">
        <f t="shared" si="3"/>
        <v>4800</v>
      </c>
      <c r="L8" s="461">
        <f>350*12</f>
        <v>4200</v>
      </c>
    </row>
    <row r="9" spans="1:12" ht="18.75" customHeight="1" x14ac:dyDescent="0.2">
      <c r="A9" s="190" t="s">
        <v>458</v>
      </c>
      <c r="B9" s="52">
        <v>5700</v>
      </c>
      <c r="C9" s="52">
        <v>6600</v>
      </c>
      <c r="D9" s="54">
        <v>6600</v>
      </c>
      <c r="E9" s="54">
        <f>(261*12)+(301*12)</f>
        <v>6744</v>
      </c>
      <c r="F9" s="461">
        <f t="shared" ref="F9:L9" si="4">((8.29+28.92+31.99+4.39+20)*12)+((8.29+28.92+30+31.99+4.39+10.79+20)*12)</f>
        <v>2735.64</v>
      </c>
      <c r="G9" s="461">
        <f t="shared" si="4"/>
        <v>2735.64</v>
      </c>
      <c r="H9" s="461">
        <f t="shared" si="4"/>
        <v>2735.64</v>
      </c>
      <c r="I9" s="461">
        <f t="shared" si="4"/>
        <v>2735.64</v>
      </c>
      <c r="J9" s="461">
        <f t="shared" si="4"/>
        <v>2735.64</v>
      </c>
      <c r="K9" s="461">
        <f t="shared" si="4"/>
        <v>2735.64</v>
      </c>
      <c r="L9" s="461">
        <f t="shared" si="4"/>
        <v>2735.64</v>
      </c>
    </row>
    <row r="10" spans="1:12" ht="18.75" customHeight="1" x14ac:dyDescent="0.2">
      <c r="A10" s="53" t="s">
        <v>340</v>
      </c>
      <c r="B10" s="151">
        <v>3000</v>
      </c>
      <c r="C10" s="151">
        <v>2670</v>
      </c>
      <c r="D10" s="188">
        <v>2670</v>
      </c>
      <c r="E10" s="188">
        <f>250*12</f>
        <v>3000</v>
      </c>
      <c r="F10" s="519">
        <f t="shared" ref="F10:K10" si="5">320*12</f>
        <v>3840</v>
      </c>
      <c r="G10" s="519">
        <f t="shared" si="5"/>
        <v>3840</v>
      </c>
      <c r="H10" s="519">
        <f t="shared" si="5"/>
        <v>3840</v>
      </c>
      <c r="I10" s="519">
        <f t="shared" si="5"/>
        <v>3840</v>
      </c>
      <c r="J10" s="519">
        <f t="shared" si="5"/>
        <v>3840</v>
      </c>
      <c r="K10" s="519">
        <f t="shared" si="5"/>
        <v>3840</v>
      </c>
      <c r="L10" s="519">
        <f>300*12</f>
        <v>3600</v>
      </c>
    </row>
    <row r="11" spans="1:12" ht="18.75" customHeight="1" x14ac:dyDescent="0.2">
      <c r="A11" s="53" t="s">
        <v>341</v>
      </c>
      <c r="B11" s="151"/>
      <c r="C11" s="151">
        <v>2370</v>
      </c>
      <c r="D11" s="188">
        <v>2370</v>
      </c>
      <c r="E11" s="188">
        <f>240*12</f>
        <v>2880</v>
      </c>
      <c r="F11" s="519">
        <f t="shared" ref="F11:K11" si="6">220*12</f>
        <v>2640</v>
      </c>
      <c r="G11" s="519">
        <f t="shared" si="6"/>
        <v>2640</v>
      </c>
      <c r="H11" s="519">
        <f t="shared" si="6"/>
        <v>2640</v>
      </c>
      <c r="I11" s="519">
        <f t="shared" si="6"/>
        <v>2640</v>
      </c>
      <c r="J11" s="519">
        <f t="shared" si="6"/>
        <v>2640</v>
      </c>
      <c r="K11" s="519">
        <f t="shared" si="6"/>
        <v>2640</v>
      </c>
      <c r="L11" s="519">
        <f>200*12</f>
        <v>2400</v>
      </c>
    </row>
    <row r="12" spans="1:12" ht="18.75" customHeight="1" x14ac:dyDescent="0.2">
      <c r="A12" s="53" t="s">
        <v>328</v>
      </c>
      <c r="B12" s="151">
        <v>8400</v>
      </c>
      <c r="C12" s="151">
        <v>8100</v>
      </c>
      <c r="D12" s="188">
        <v>8100</v>
      </c>
      <c r="E12" s="188">
        <f t="shared" ref="E12:K12" si="7">675*12</f>
        <v>8100</v>
      </c>
      <c r="F12" s="519">
        <f t="shared" si="7"/>
        <v>8100</v>
      </c>
      <c r="G12" s="519">
        <f t="shared" si="7"/>
        <v>8100</v>
      </c>
      <c r="H12" s="519">
        <f t="shared" si="7"/>
        <v>8100</v>
      </c>
      <c r="I12" s="519">
        <f t="shared" si="7"/>
        <v>8100</v>
      </c>
      <c r="J12" s="519">
        <f t="shared" si="7"/>
        <v>8100</v>
      </c>
      <c r="K12" s="519">
        <f t="shared" si="7"/>
        <v>8100</v>
      </c>
      <c r="L12" s="519">
        <f>600*12</f>
        <v>7200</v>
      </c>
    </row>
    <row r="13" spans="1:12" ht="18.75" customHeight="1" x14ac:dyDescent="0.2">
      <c r="A13" s="53" t="s">
        <v>329</v>
      </c>
      <c r="B13" s="151">
        <v>8800</v>
      </c>
      <c r="C13" s="151">
        <v>12000</v>
      </c>
      <c r="D13" s="188">
        <v>10000</v>
      </c>
      <c r="E13" s="188">
        <f>1200*12</f>
        <v>14400</v>
      </c>
      <c r="F13" s="519">
        <f t="shared" ref="F13:K13" si="8">1400*12</f>
        <v>16800</v>
      </c>
      <c r="G13" s="519">
        <f t="shared" si="8"/>
        <v>16800</v>
      </c>
      <c r="H13" s="519">
        <f t="shared" si="8"/>
        <v>16800</v>
      </c>
      <c r="I13" s="519">
        <f t="shared" si="8"/>
        <v>16800</v>
      </c>
      <c r="J13" s="519">
        <f t="shared" si="8"/>
        <v>16800</v>
      </c>
      <c r="K13" s="519">
        <f t="shared" si="8"/>
        <v>16800</v>
      </c>
      <c r="L13" s="519">
        <f>1000*12</f>
        <v>12000</v>
      </c>
    </row>
    <row r="14" spans="1:12" ht="18.75" customHeight="1" x14ac:dyDescent="0.2">
      <c r="A14" s="234" t="s">
        <v>459</v>
      </c>
      <c r="B14" s="228"/>
      <c r="C14" s="228"/>
      <c r="D14" s="228"/>
      <c r="E14" s="228"/>
      <c r="F14" s="551">
        <f>(399*12)+((49*2)*12)</f>
        <v>5964</v>
      </c>
      <c r="G14" s="551">
        <f>(399*12)+((49*2)*12)</f>
        <v>5964</v>
      </c>
      <c r="H14" s="551">
        <f>(499*12)+((49*2)*12)</f>
        <v>7164</v>
      </c>
      <c r="I14" s="551">
        <f>(499*12)+((49*2)*12)</f>
        <v>7164</v>
      </c>
      <c r="J14" s="551">
        <f>(499*12)+((49*2)*12)</f>
        <v>7164</v>
      </c>
      <c r="K14" s="551">
        <f>(499*12)+((49*2)*12)</f>
        <v>7164</v>
      </c>
      <c r="L14" s="551">
        <f>(499*12)+((49*2)*12)</f>
        <v>7164</v>
      </c>
    </row>
    <row r="15" spans="1:12" ht="18.75" customHeight="1" x14ac:dyDescent="0.2">
      <c r="A15" s="234"/>
      <c r="B15" s="228"/>
      <c r="C15" s="228"/>
      <c r="D15" s="228"/>
      <c r="E15" s="228"/>
      <c r="F15" s="551"/>
      <c r="G15" s="551"/>
      <c r="H15" s="551"/>
      <c r="I15" s="551"/>
      <c r="J15" s="551"/>
      <c r="K15" s="551"/>
      <c r="L15" s="551"/>
    </row>
    <row r="16" spans="1:12" ht="18.75" customHeight="1" thickBot="1" x14ac:dyDescent="0.25">
      <c r="A16" s="236"/>
      <c r="B16" s="229">
        <v>3000</v>
      </c>
      <c r="C16" s="229"/>
      <c r="D16" s="229"/>
      <c r="E16" s="229"/>
      <c r="F16" s="545"/>
      <c r="G16" s="545"/>
      <c r="H16" s="545"/>
      <c r="I16" s="545"/>
      <c r="J16" s="545"/>
      <c r="K16" s="545"/>
      <c r="L16" s="545"/>
    </row>
    <row r="17" spans="1:12" s="141" customFormat="1" ht="18.75" customHeight="1" thickTop="1" x14ac:dyDescent="0.25">
      <c r="A17" s="232" t="s">
        <v>84</v>
      </c>
      <c r="B17" s="161">
        <f t="shared" ref="B17:H17" si="9">SUM(B4:B16)</f>
        <v>64400</v>
      </c>
      <c r="C17" s="161">
        <f t="shared" si="9"/>
        <v>73580</v>
      </c>
      <c r="D17" s="161">
        <f t="shared" si="9"/>
        <v>71600</v>
      </c>
      <c r="E17" s="161">
        <f t="shared" si="9"/>
        <v>74724</v>
      </c>
      <c r="F17" s="562">
        <f t="shared" si="9"/>
        <v>73439.64</v>
      </c>
      <c r="G17" s="562">
        <f>SUM(G4:G16)</f>
        <v>73439.64</v>
      </c>
      <c r="H17" s="562">
        <f t="shared" si="9"/>
        <v>74639.64</v>
      </c>
      <c r="I17" s="562">
        <f>SUM(I4:I16)</f>
        <v>74639.64</v>
      </c>
      <c r="J17" s="562">
        <f>SUM(J4:J16)</f>
        <v>74639.64</v>
      </c>
      <c r="K17" s="562">
        <f>SUM(K4:K16)</f>
        <v>74639.64</v>
      </c>
      <c r="L17" s="562">
        <f>SUM(L4:L16)</f>
        <v>62699.64</v>
      </c>
    </row>
    <row r="18" spans="1:12" ht="18.75" customHeight="1" x14ac:dyDescent="0.3">
      <c r="A18" s="16"/>
      <c r="B18" s="41"/>
      <c r="C18" s="24"/>
    </row>
    <row r="19" spans="1:12" ht="18.75" customHeight="1" x14ac:dyDescent="0.2">
      <c r="A19" s="198"/>
    </row>
    <row r="20" spans="1:12" ht="18.75" customHeight="1" x14ac:dyDescent="0.2">
      <c r="A20" s="159"/>
    </row>
    <row r="21" spans="1:12" ht="18.75" customHeight="1" x14ac:dyDescent="0.2">
      <c r="A21" s="159"/>
    </row>
    <row r="22" spans="1:12" ht="18.75" customHeight="1" x14ac:dyDescent="0.2">
      <c r="A22" s="159"/>
    </row>
    <row r="23" spans="1:12" ht="18.75" customHeight="1" x14ac:dyDescent="0.2">
      <c r="A23" s="159"/>
    </row>
    <row r="24" spans="1:12" ht="18.75" customHeight="1" x14ac:dyDescent="0.2">
      <c r="A24" s="159"/>
    </row>
    <row r="25" spans="1:12" ht="18.75" customHeight="1" x14ac:dyDescent="0.2">
      <c r="A25" s="159"/>
    </row>
  </sheetData>
  <sortState ref="A5:E12">
    <sortCondition ref="A5"/>
  </sortState>
  <phoneticPr fontId="18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/>
  </sheetViews>
  <sheetFormatPr defaultColWidth="9.140625" defaultRowHeight="18.75" customHeight="1" x14ac:dyDescent="0.3"/>
  <cols>
    <col min="1" max="1" width="31" style="93" bestFit="1" customWidth="1"/>
    <col min="2" max="2" width="12.42578125" style="41" hidden="1" customWidth="1"/>
    <col min="3" max="4" width="12.42578125" style="24" hidden="1" customWidth="1"/>
    <col min="5" max="8" width="11.7109375" style="24" hidden="1" customWidth="1"/>
    <col min="9" max="9" width="0" style="24" hidden="1" customWidth="1"/>
    <col min="10" max="16384" width="9.140625" style="24"/>
  </cols>
  <sheetData>
    <row r="1" spans="1:12" s="42" customFormat="1" ht="18.75" customHeight="1" x14ac:dyDescent="0.3">
      <c r="A1" s="175" t="s">
        <v>425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8.75" customHeight="1" x14ac:dyDescent="0.3">
      <c r="A2" s="9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42" customFormat="1" ht="18.75" customHeight="1" x14ac:dyDescent="0.3">
      <c r="A3" s="37" t="s">
        <v>86</v>
      </c>
      <c r="B3" s="95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s="119" customFormat="1" ht="18.75" customHeight="1" x14ac:dyDescent="0.3">
      <c r="A4" s="224"/>
      <c r="B4" s="160"/>
      <c r="C4" s="160"/>
      <c r="D4" s="160"/>
      <c r="E4" s="160"/>
      <c r="F4" s="544"/>
      <c r="G4" s="544"/>
      <c r="H4" s="544"/>
      <c r="I4" s="544"/>
      <c r="J4" s="544"/>
      <c r="K4" s="544"/>
      <c r="L4" s="544"/>
    </row>
    <row r="5" spans="1:12" s="119" customFormat="1" ht="18.75" customHeight="1" x14ac:dyDescent="0.3">
      <c r="A5" s="224"/>
      <c r="B5" s="160"/>
      <c r="C5" s="160"/>
      <c r="D5" s="160"/>
      <c r="E5" s="160"/>
      <c r="F5" s="544"/>
      <c r="G5" s="544"/>
      <c r="H5" s="544"/>
      <c r="I5" s="544"/>
      <c r="J5" s="544"/>
      <c r="K5" s="544"/>
      <c r="L5" s="544"/>
    </row>
    <row r="6" spans="1:12" s="119" customFormat="1" ht="18.75" customHeight="1" x14ac:dyDescent="0.3">
      <c r="A6" s="224"/>
      <c r="B6" s="160"/>
      <c r="C6" s="160"/>
      <c r="D6" s="160"/>
      <c r="E6" s="160"/>
      <c r="F6" s="544"/>
      <c r="G6" s="544"/>
      <c r="H6" s="544"/>
      <c r="I6" s="544"/>
      <c r="J6" s="544"/>
      <c r="K6" s="544"/>
      <c r="L6" s="544"/>
    </row>
    <row r="7" spans="1:12" s="119" customFormat="1" ht="18.75" hidden="1" customHeight="1" x14ac:dyDescent="0.3">
      <c r="A7" s="190" t="s">
        <v>169</v>
      </c>
      <c r="B7" s="160">
        <v>255362.5</v>
      </c>
      <c r="C7" s="160">
        <v>259032.5</v>
      </c>
      <c r="D7" s="160"/>
      <c r="E7" s="160"/>
      <c r="F7" s="544"/>
      <c r="G7" s="544"/>
      <c r="H7" s="544"/>
      <c r="I7" s="544"/>
      <c r="J7" s="544"/>
      <c r="K7" s="544"/>
      <c r="L7" s="544"/>
    </row>
    <row r="8" spans="1:12" s="119" customFormat="1" ht="18.75" hidden="1" customHeight="1" x14ac:dyDescent="0.3">
      <c r="A8" s="190" t="s">
        <v>170</v>
      </c>
      <c r="B8" s="160">
        <v>113247.5</v>
      </c>
      <c r="C8" s="160">
        <v>111447.5</v>
      </c>
      <c r="D8" s="160"/>
      <c r="E8" s="160"/>
      <c r="F8" s="544"/>
      <c r="G8" s="544"/>
      <c r="H8" s="544"/>
      <c r="I8" s="544"/>
      <c r="J8" s="544"/>
      <c r="K8" s="544"/>
      <c r="L8" s="544"/>
    </row>
    <row r="9" spans="1:12" s="119" customFormat="1" ht="18.75" customHeight="1" x14ac:dyDescent="0.3">
      <c r="A9" s="190" t="s">
        <v>617</v>
      </c>
      <c r="B9" s="160"/>
      <c r="C9" s="160"/>
      <c r="D9" s="160">
        <v>75600</v>
      </c>
      <c r="E9" s="160">
        <v>72800</v>
      </c>
      <c r="F9" s="544">
        <v>69050</v>
      </c>
      <c r="G9" s="544">
        <v>63450</v>
      </c>
      <c r="H9" s="544">
        <f>28925+28925</f>
        <v>57850</v>
      </c>
      <c r="I9" s="544">
        <f>26025*2</f>
        <v>52050</v>
      </c>
      <c r="J9" s="740">
        <f>21525+21525</f>
        <v>43050</v>
      </c>
      <c r="K9" s="740">
        <f>16950*2</f>
        <v>33900</v>
      </c>
      <c r="L9" s="740">
        <f>12300*2</f>
        <v>24600</v>
      </c>
    </row>
    <row r="10" spans="1:12" s="119" customFormat="1" ht="18.75" customHeight="1" x14ac:dyDescent="0.3">
      <c r="A10" s="190" t="s">
        <v>618</v>
      </c>
      <c r="B10" s="237"/>
      <c r="C10" s="160"/>
      <c r="D10" s="160">
        <v>271950</v>
      </c>
      <c r="E10" s="160">
        <f>36525+200000+36525</f>
        <v>273050</v>
      </c>
      <c r="F10" s="544">
        <v>280000</v>
      </c>
      <c r="G10" s="544">
        <v>280000</v>
      </c>
      <c r="H10" s="544">
        <v>290000</v>
      </c>
      <c r="I10" s="544">
        <v>300000</v>
      </c>
      <c r="J10" s="740">
        <v>305000</v>
      </c>
      <c r="K10" s="740">
        <v>310000</v>
      </c>
      <c r="L10" s="740">
        <v>320000</v>
      </c>
    </row>
    <row r="11" spans="1:12" s="119" customFormat="1" ht="18.75" customHeight="1" x14ac:dyDescent="0.3">
      <c r="A11" s="190"/>
      <c r="B11" s="237"/>
      <c r="C11" s="160"/>
      <c r="D11" s="160"/>
      <c r="E11" s="160"/>
      <c r="F11" s="544"/>
      <c r="G11" s="544"/>
      <c r="H11" s="544"/>
      <c r="I11" s="544"/>
      <c r="J11" s="544"/>
      <c r="K11" s="544"/>
      <c r="L11" s="544"/>
    </row>
    <row r="12" spans="1:12" s="119" customFormat="1" ht="18.75" customHeight="1" x14ac:dyDescent="0.3">
      <c r="A12" s="190"/>
      <c r="B12" s="160"/>
      <c r="C12" s="160"/>
      <c r="D12" s="160"/>
      <c r="E12" s="160"/>
      <c r="F12" s="544"/>
      <c r="G12" s="544"/>
      <c r="H12" s="544"/>
      <c r="I12" s="544"/>
      <c r="J12" s="544"/>
      <c r="K12" s="544"/>
      <c r="L12" s="544"/>
    </row>
    <row r="13" spans="1:12" s="42" customFormat="1" ht="18.75" customHeight="1" x14ac:dyDescent="0.3">
      <c r="A13" s="53"/>
      <c r="B13" s="226"/>
      <c r="C13" s="226"/>
      <c r="D13" s="226"/>
      <c r="E13" s="226"/>
      <c r="F13" s="555"/>
      <c r="G13" s="555"/>
      <c r="H13" s="555"/>
      <c r="I13" s="555"/>
      <c r="J13" s="555"/>
      <c r="K13" s="555"/>
      <c r="L13" s="555"/>
    </row>
    <row r="14" spans="1:12" ht="18.75" customHeight="1" thickBot="1" x14ac:dyDescent="0.35">
      <c r="A14" s="190"/>
      <c r="B14" s="227"/>
      <c r="C14" s="227"/>
      <c r="D14" s="227"/>
      <c r="E14" s="227"/>
      <c r="F14" s="563"/>
      <c r="G14" s="563"/>
      <c r="H14" s="563"/>
      <c r="I14" s="563"/>
      <c r="J14" s="563"/>
      <c r="K14" s="563"/>
      <c r="L14" s="563"/>
    </row>
    <row r="15" spans="1:12" s="42" customFormat="1" ht="18.75" customHeight="1" thickTop="1" x14ac:dyDescent="0.3">
      <c r="A15" s="232" t="s">
        <v>84</v>
      </c>
      <c r="B15" s="235">
        <f t="shared" ref="B15:H15" si="0">SUM(B4:B14)</f>
        <v>368610</v>
      </c>
      <c r="C15" s="235">
        <f t="shared" si="0"/>
        <v>370480</v>
      </c>
      <c r="D15" s="235">
        <f t="shared" si="0"/>
        <v>347550</v>
      </c>
      <c r="E15" s="235">
        <f t="shared" si="0"/>
        <v>345850</v>
      </c>
      <c r="F15" s="558">
        <f t="shared" si="0"/>
        <v>349050</v>
      </c>
      <c r="G15" s="558">
        <f>SUM(G4:G14)</f>
        <v>343450</v>
      </c>
      <c r="H15" s="558">
        <f t="shared" si="0"/>
        <v>347850</v>
      </c>
      <c r="I15" s="558">
        <f>SUM(I4:I14)</f>
        <v>352050</v>
      </c>
      <c r="J15" s="558">
        <f>SUM(J4:J14)</f>
        <v>348050</v>
      </c>
      <c r="K15" s="558">
        <f>SUM(K4:K14)</f>
        <v>343900</v>
      </c>
      <c r="L15" s="558">
        <f>SUM(L4:L14)</f>
        <v>344600</v>
      </c>
    </row>
    <row r="16" spans="1:12" ht="18.75" customHeight="1" x14ac:dyDescent="0.3">
      <c r="A16" s="216"/>
      <c r="B16" s="216"/>
      <c r="C16" s="216"/>
      <c r="D16" s="216"/>
    </row>
    <row r="17" spans="1:2" ht="18.75" customHeight="1" x14ac:dyDescent="0.3">
      <c r="A17" s="16" t="s">
        <v>676</v>
      </c>
      <c r="B17" s="24"/>
    </row>
    <row r="18" spans="1:2" ht="18.75" customHeight="1" x14ac:dyDescent="0.3">
      <c r="A18" s="16"/>
    </row>
    <row r="19" spans="1:2" ht="18.75" customHeight="1" x14ac:dyDescent="0.3">
      <c r="A19" s="16"/>
    </row>
    <row r="20" spans="1:2" ht="18.75" customHeight="1" x14ac:dyDescent="0.3">
      <c r="A20" s="16"/>
    </row>
    <row r="21" spans="1:2" ht="18.75" customHeight="1" x14ac:dyDescent="0.3">
      <c r="A21" s="16"/>
    </row>
  </sheetData>
  <phoneticPr fontId="18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/>
  </sheetViews>
  <sheetFormatPr defaultColWidth="9.140625" defaultRowHeight="18.75" customHeight="1" x14ac:dyDescent="0.3"/>
  <cols>
    <col min="1" max="1" width="35.42578125" style="93" bestFit="1" customWidth="1"/>
    <col min="2" max="8" width="10.28515625" style="24" hidden="1" customWidth="1"/>
    <col min="9" max="9" width="0" style="24" hidden="1" customWidth="1"/>
    <col min="10" max="16384" width="9.140625" style="24"/>
  </cols>
  <sheetData>
    <row r="1" spans="1:12" s="42" customFormat="1" ht="18.75" customHeight="1" x14ac:dyDescent="0.3">
      <c r="A1" s="175" t="s">
        <v>426</v>
      </c>
      <c r="B1" s="162"/>
      <c r="C1" s="149" t="s">
        <v>467</v>
      </c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customHeight="1" x14ac:dyDescent="0.3">
      <c r="A2" s="94"/>
      <c r="B2" s="45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42" customFormat="1" ht="18.75" customHeight="1" x14ac:dyDescent="0.3">
      <c r="A3" s="37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s="119" customFormat="1" ht="18.75" customHeight="1" x14ac:dyDescent="0.3">
      <c r="A4" s="224"/>
      <c r="B4" s="224"/>
      <c r="C4" s="224"/>
      <c r="D4" s="224"/>
      <c r="E4" s="224"/>
      <c r="F4" s="579"/>
      <c r="G4" s="579"/>
      <c r="H4" s="579"/>
      <c r="I4" s="579"/>
      <c r="J4" s="579"/>
      <c r="K4" s="579"/>
      <c r="L4" s="579"/>
    </row>
    <row r="5" spans="1:12" ht="18.75" customHeight="1" x14ac:dyDescent="0.3">
      <c r="A5" s="59"/>
      <c r="B5" s="38">
        <v>2750</v>
      </c>
      <c r="C5" s="38"/>
      <c r="D5" s="38"/>
      <c r="E5" s="38"/>
      <c r="F5" s="477"/>
      <c r="G5" s="477"/>
      <c r="H5" s="477"/>
      <c r="I5" s="477"/>
      <c r="J5" s="477"/>
      <c r="K5" s="477"/>
      <c r="L5" s="477"/>
    </row>
    <row r="6" spans="1:12" ht="18.75" customHeight="1" x14ac:dyDescent="0.3">
      <c r="A6" s="59" t="s">
        <v>468</v>
      </c>
      <c r="B6" s="38"/>
      <c r="C6" s="38">
        <v>3250</v>
      </c>
      <c r="D6" s="38">
        <f>5*50*14</f>
        <v>3500</v>
      </c>
      <c r="E6" s="38">
        <f>5*50*14</f>
        <v>3500</v>
      </c>
      <c r="F6" s="477">
        <f>5*50*16</f>
        <v>4000</v>
      </c>
      <c r="G6" s="477">
        <f>5*50*16</f>
        <v>4000</v>
      </c>
      <c r="H6" s="477">
        <f>50*16*5</f>
        <v>4000</v>
      </c>
      <c r="I6" s="477">
        <f>50*16*5</f>
        <v>4000</v>
      </c>
      <c r="J6" s="477">
        <f>50*16*5</f>
        <v>4000</v>
      </c>
      <c r="K6" s="477">
        <f>50*16*5</f>
        <v>4000</v>
      </c>
      <c r="L6" s="477">
        <f>50*16*5</f>
        <v>4000</v>
      </c>
    </row>
    <row r="7" spans="1:12" ht="18.75" customHeight="1" x14ac:dyDescent="0.3">
      <c r="A7" s="356"/>
      <c r="B7" s="139"/>
      <c r="C7" s="139"/>
      <c r="D7" s="139"/>
      <c r="E7" s="139"/>
      <c r="F7" s="580"/>
      <c r="G7" s="580"/>
      <c r="H7" s="580"/>
      <c r="I7" s="580"/>
      <c r="J7" s="580"/>
      <c r="K7" s="580"/>
      <c r="L7" s="580"/>
    </row>
    <row r="8" spans="1:12" ht="18.75" customHeight="1" x14ac:dyDescent="0.3">
      <c r="A8" s="356"/>
      <c r="B8" s="139"/>
      <c r="C8" s="139"/>
      <c r="D8" s="139"/>
      <c r="E8" s="139"/>
      <c r="F8" s="580"/>
      <c r="G8" s="580"/>
      <c r="H8" s="580"/>
      <c r="I8" s="580"/>
      <c r="J8" s="580"/>
      <c r="K8" s="580"/>
      <c r="L8" s="580"/>
    </row>
    <row r="9" spans="1:12" ht="18.75" customHeight="1" x14ac:dyDescent="0.3">
      <c r="A9" s="360"/>
      <c r="B9" s="38"/>
      <c r="C9" s="38"/>
      <c r="D9" s="38"/>
      <c r="E9" s="38"/>
      <c r="F9" s="477"/>
      <c r="G9" s="477"/>
      <c r="H9" s="477"/>
      <c r="I9" s="477"/>
      <c r="J9" s="477"/>
      <c r="K9" s="477"/>
      <c r="L9" s="477"/>
    </row>
    <row r="10" spans="1:12" ht="18.75" customHeight="1" thickBot="1" x14ac:dyDescent="0.35">
      <c r="A10" s="356"/>
      <c r="B10" s="361">
        <v>-500</v>
      </c>
      <c r="C10" s="361"/>
      <c r="D10" s="361"/>
      <c r="E10" s="361"/>
      <c r="F10" s="581"/>
      <c r="G10" s="581"/>
      <c r="H10" s="581"/>
      <c r="I10" s="581"/>
      <c r="J10" s="581"/>
      <c r="K10" s="581"/>
      <c r="L10" s="581"/>
    </row>
    <row r="11" spans="1:12" s="42" customFormat="1" ht="18.75" customHeight="1" thickTop="1" x14ac:dyDescent="0.3">
      <c r="A11" s="99" t="s">
        <v>84</v>
      </c>
      <c r="B11" s="40">
        <f t="shared" ref="B11:H11" si="0">SUM(B4:B10)</f>
        <v>2250</v>
      </c>
      <c r="C11" s="40">
        <f t="shared" si="0"/>
        <v>3250</v>
      </c>
      <c r="D11" s="40">
        <f t="shared" si="0"/>
        <v>3500</v>
      </c>
      <c r="E11" s="40">
        <f t="shared" si="0"/>
        <v>3500</v>
      </c>
      <c r="F11" s="480">
        <f t="shared" si="0"/>
        <v>4000</v>
      </c>
      <c r="G11" s="480">
        <f>SUM(G4:G10)</f>
        <v>4000</v>
      </c>
      <c r="H11" s="480">
        <f t="shared" si="0"/>
        <v>4000</v>
      </c>
      <c r="I11" s="480">
        <f>SUM(I4:I10)</f>
        <v>4000</v>
      </c>
      <c r="J11" s="480">
        <f>SUM(J4:J10)</f>
        <v>4000</v>
      </c>
      <c r="K11" s="480">
        <f>SUM(K4:K10)</f>
        <v>4000</v>
      </c>
      <c r="L11" s="480">
        <f>SUM(L4:L10)</f>
        <v>4000</v>
      </c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ColWidth="9.140625" defaultRowHeight="18.75" customHeight="1" x14ac:dyDescent="0.3"/>
  <cols>
    <col min="1" max="1" width="34.5703125" style="93" bestFit="1" customWidth="1"/>
    <col min="2" max="4" width="10.7109375" style="24" hidden="1" customWidth="1"/>
    <col min="5" max="8" width="10.140625" style="24" hidden="1" customWidth="1"/>
    <col min="9" max="9" width="0" style="24" hidden="1" customWidth="1"/>
    <col min="10" max="16384" width="9.140625" style="24"/>
  </cols>
  <sheetData>
    <row r="1" spans="1:12" s="42" customFormat="1" ht="18.75" customHeight="1" x14ac:dyDescent="0.3">
      <c r="A1" s="175" t="s">
        <v>20</v>
      </c>
      <c r="B1" s="162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customHeight="1" x14ac:dyDescent="0.3">
      <c r="A2" s="94"/>
      <c r="B2" s="45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42" customFormat="1" ht="18.75" customHeight="1" x14ac:dyDescent="0.3">
      <c r="A3" s="37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s="119" customFormat="1" ht="18.75" customHeight="1" x14ac:dyDescent="0.3">
      <c r="A4" s="196"/>
      <c r="B4" s="196"/>
      <c r="C4" s="196"/>
      <c r="D4" s="196"/>
      <c r="E4" s="196"/>
      <c r="F4" s="582"/>
      <c r="G4" s="582"/>
      <c r="H4" s="582"/>
      <c r="I4" s="582"/>
      <c r="J4" s="582"/>
      <c r="K4" s="582"/>
      <c r="L4" s="582"/>
    </row>
    <row r="5" spans="1:12" ht="18.75" customHeight="1" x14ac:dyDescent="0.3">
      <c r="A5" s="53" t="s">
        <v>359</v>
      </c>
      <c r="B5" s="151">
        <v>1765</v>
      </c>
      <c r="C5" s="151">
        <v>1550</v>
      </c>
      <c r="D5" s="151">
        <v>3000</v>
      </c>
      <c r="E5" s="151">
        <v>3000</v>
      </c>
      <c r="F5" s="518">
        <v>2500</v>
      </c>
      <c r="G5" s="518">
        <v>2500</v>
      </c>
      <c r="H5" s="518">
        <v>2500</v>
      </c>
      <c r="I5" s="518">
        <v>2500</v>
      </c>
      <c r="J5" s="518">
        <v>2500</v>
      </c>
      <c r="K5" s="518">
        <v>2500</v>
      </c>
      <c r="L5" s="518">
        <v>2500</v>
      </c>
    </row>
    <row r="6" spans="1:12" ht="18.75" hidden="1" customHeight="1" x14ac:dyDescent="0.3">
      <c r="A6" s="53" t="s">
        <v>297</v>
      </c>
      <c r="B6" s="151">
        <v>2750</v>
      </c>
      <c r="C6" s="151"/>
      <c r="D6" s="151"/>
      <c r="E6" s="151"/>
      <c r="F6" s="518"/>
      <c r="G6" s="518"/>
      <c r="H6" s="518"/>
      <c r="I6" s="518"/>
      <c r="J6" s="518"/>
      <c r="K6" s="518"/>
      <c r="L6" s="518"/>
    </row>
    <row r="7" spans="1:12" ht="18.75" customHeight="1" x14ac:dyDescent="0.3">
      <c r="A7" s="53" t="s">
        <v>335</v>
      </c>
      <c r="B7" s="151"/>
      <c r="C7" s="151">
        <v>2000</v>
      </c>
      <c r="D7" s="151">
        <v>4000</v>
      </c>
      <c r="E7" s="151">
        <v>4000</v>
      </c>
      <c r="F7" s="519">
        <v>5000</v>
      </c>
      <c r="G7" s="518">
        <v>25000</v>
      </c>
      <c r="H7" s="518">
        <v>25000</v>
      </c>
      <c r="I7" s="518">
        <v>25000</v>
      </c>
      <c r="J7" s="518">
        <v>25000</v>
      </c>
      <c r="K7" s="518">
        <v>25000</v>
      </c>
      <c r="L7" s="518">
        <v>25000</v>
      </c>
    </row>
    <row r="8" spans="1:12" ht="18.75" customHeight="1" x14ac:dyDescent="0.3">
      <c r="A8" s="189"/>
      <c r="B8" s="151"/>
      <c r="C8" s="151"/>
      <c r="D8" s="151"/>
      <c r="E8" s="151"/>
      <c r="F8" s="518"/>
      <c r="G8" s="518"/>
      <c r="H8" s="518"/>
      <c r="I8" s="518"/>
      <c r="J8" s="518"/>
      <c r="K8" s="518"/>
      <c r="L8" s="518"/>
    </row>
    <row r="9" spans="1:12" ht="18.75" customHeight="1" x14ac:dyDescent="0.3">
      <c r="A9" s="189"/>
      <c r="B9" s="151"/>
      <c r="C9" s="151"/>
      <c r="D9" s="151"/>
      <c r="E9" s="151"/>
      <c r="F9" s="518"/>
      <c r="G9" s="518"/>
      <c r="H9" s="518"/>
      <c r="I9" s="518"/>
      <c r="J9" s="518"/>
      <c r="K9" s="518"/>
      <c r="L9" s="518"/>
    </row>
    <row r="10" spans="1:12" ht="18.75" customHeight="1" x14ac:dyDescent="0.3">
      <c r="A10" s="189"/>
      <c r="B10" s="151"/>
      <c r="C10" s="151"/>
      <c r="D10" s="151"/>
      <c r="E10" s="151"/>
      <c r="F10" s="518"/>
      <c r="G10" s="518"/>
      <c r="H10" s="518"/>
      <c r="I10" s="518"/>
      <c r="J10" s="518"/>
      <c r="K10" s="518"/>
      <c r="L10" s="518"/>
    </row>
    <row r="11" spans="1:12" ht="18.75" customHeight="1" x14ac:dyDescent="0.3">
      <c r="A11" s="189"/>
      <c r="B11" s="164"/>
      <c r="C11" s="151"/>
      <c r="D11" s="151"/>
      <c r="E11" s="151"/>
      <c r="F11" s="518"/>
      <c r="G11" s="518"/>
      <c r="H11" s="518"/>
      <c r="I11" s="518"/>
      <c r="J11" s="518"/>
      <c r="K11" s="518"/>
      <c r="L11" s="518"/>
    </row>
    <row r="12" spans="1:12" ht="18.75" customHeight="1" thickBot="1" x14ac:dyDescent="0.35">
      <c r="A12" s="189"/>
      <c r="B12" s="245">
        <f>-4305-210</f>
        <v>-4515</v>
      </c>
      <c r="C12" s="152"/>
      <c r="D12" s="152"/>
      <c r="E12" s="152"/>
      <c r="F12" s="554"/>
      <c r="G12" s="554"/>
      <c r="H12" s="554"/>
      <c r="I12" s="554"/>
      <c r="J12" s="554"/>
      <c r="K12" s="554"/>
      <c r="L12" s="554"/>
    </row>
    <row r="13" spans="1:12" s="42" customFormat="1" ht="18.75" customHeight="1" x14ac:dyDescent="0.3">
      <c r="A13" s="238" t="s">
        <v>84</v>
      </c>
      <c r="B13" s="362">
        <f>SUM(B4:B12)</f>
        <v>0</v>
      </c>
      <c r="C13" s="362">
        <f t="shared" ref="C13:H13" si="0">SUM(C4:C12)</f>
        <v>3550</v>
      </c>
      <c r="D13" s="362">
        <f t="shared" si="0"/>
        <v>7000</v>
      </c>
      <c r="E13" s="362">
        <f t="shared" si="0"/>
        <v>7000</v>
      </c>
      <c r="F13" s="583">
        <f>SUM(F4:F12)</f>
        <v>7500</v>
      </c>
      <c r="G13" s="583">
        <f>SUM(G4:G12)</f>
        <v>27500</v>
      </c>
      <c r="H13" s="583">
        <f t="shared" si="0"/>
        <v>27500</v>
      </c>
      <c r="I13" s="583">
        <f>SUM(I4:I12)</f>
        <v>27500</v>
      </c>
      <c r="J13" s="583">
        <f>SUM(J4:J12)</f>
        <v>27500</v>
      </c>
      <c r="K13" s="583">
        <f>SUM(K4:K12)</f>
        <v>27500</v>
      </c>
      <c r="L13" s="583">
        <f>SUM(L4:L12)</f>
        <v>27500</v>
      </c>
    </row>
  </sheetData>
  <phoneticPr fontId="18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3" sqref="F13"/>
    </sheetView>
  </sheetViews>
  <sheetFormatPr defaultColWidth="9.140625" defaultRowHeight="18.75" customHeight="1" x14ac:dyDescent="0.2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42" customFormat="1" ht="18.75" customHeight="1" x14ac:dyDescent="0.3">
      <c r="A1" s="177" t="s">
        <v>23</v>
      </c>
      <c r="B1" s="162"/>
      <c r="C1" s="149"/>
      <c r="D1" s="149"/>
      <c r="E1" s="149"/>
      <c r="F1" s="149"/>
    </row>
    <row r="2" spans="1:6" ht="18.75" customHeight="1" x14ac:dyDescent="0.2">
      <c r="A2" s="28"/>
      <c r="B2" s="20"/>
      <c r="C2" s="28"/>
      <c r="D2" s="28"/>
      <c r="E2" s="28"/>
      <c r="F2" s="28"/>
    </row>
    <row r="3" spans="1:6" s="2" customFormat="1" ht="18.75" customHeight="1" x14ac:dyDescent="0.3">
      <c r="A3" s="37" t="s">
        <v>86</v>
      </c>
      <c r="B3" s="37">
        <v>2010</v>
      </c>
      <c r="C3" s="37">
        <v>2011</v>
      </c>
      <c r="D3" s="37">
        <v>2012</v>
      </c>
      <c r="E3" s="37">
        <v>2013</v>
      </c>
      <c r="F3" s="37">
        <v>2014</v>
      </c>
    </row>
    <row r="4" spans="1:6" s="6" customFormat="1" ht="9.75" customHeight="1" x14ac:dyDescent="0.3">
      <c r="A4" s="113"/>
      <c r="B4" s="113"/>
      <c r="C4" s="113"/>
      <c r="D4" s="113"/>
      <c r="E4" s="113"/>
      <c r="F4" s="113"/>
    </row>
    <row r="5" spans="1:6" ht="18.75" customHeight="1" x14ac:dyDescent="0.2">
      <c r="A5" s="364" t="s">
        <v>22</v>
      </c>
      <c r="B5" s="151"/>
      <c r="C5" s="151"/>
      <c r="D5" s="151"/>
      <c r="E5" s="151"/>
      <c r="F5" s="151"/>
    </row>
    <row r="6" spans="1:6" ht="18.75" customHeight="1" x14ac:dyDescent="0.2">
      <c r="A6" s="190" t="s">
        <v>331</v>
      </c>
      <c r="B6" s="151">
        <v>42500</v>
      </c>
      <c r="C6" s="164"/>
      <c r="D6" s="164"/>
      <c r="E6" s="164"/>
      <c r="F6" s="164"/>
    </row>
    <row r="7" spans="1:6" ht="18.75" customHeight="1" x14ac:dyDescent="0.3">
      <c r="A7" s="51"/>
      <c r="B7" s="164"/>
      <c r="C7" s="164"/>
      <c r="D7" s="164"/>
      <c r="E7" s="164"/>
      <c r="F7" s="164"/>
    </row>
    <row r="8" spans="1:6" ht="18.75" customHeight="1" x14ac:dyDescent="0.3">
      <c r="A8" s="59" t="s">
        <v>298</v>
      </c>
      <c r="B8" s="151"/>
      <c r="C8" s="151">
        <v>50000</v>
      </c>
      <c r="D8" s="164"/>
      <c r="E8" s="164"/>
      <c r="F8" s="164"/>
    </row>
    <row r="9" spans="1:6" ht="18.75" customHeight="1" x14ac:dyDescent="0.3">
      <c r="A9" s="51"/>
      <c r="B9" s="164"/>
      <c r="C9" s="164"/>
      <c r="D9" s="164"/>
      <c r="E9" s="164"/>
      <c r="F9" s="164"/>
    </row>
    <row r="10" spans="1:6" ht="18.75" customHeight="1" x14ac:dyDescent="0.3">
      <c r="A10" s="59" t="s">
        <v>332</v>
      </c>
      <c r="B10" s="151"/>
      <c r="C10" s="151"/>
      <c r="D10" s="151">
        <v>56393.53</v>
      </c>
      <c r="E10" s="151"/>
      <c r="F10" s="151"/>
    </row>
    <row r="11" spans="1:6" ht="18.75" customHeight="1" x14ac:dyDescent="0.3">
      <c r="A11" s="59"/>
      <c r="B11" s="151"/>
      <c r="C11" s="151"/>
      <c r="D11" s="151"/>
      <c r="E11" s="151"/>
      <c r="F11" s="151"/>
    </row>
    <row r="12" spans="1:6" ht="18.75" customHeight="1" x14ac:dyDescent="0.3">
      <c r="A12" s="59"/>
      <c r="B12" s="151"/>
      <c r="C12" s="151"/>
      <c r="D12" s="151"/>
      <c r="E12" s="151"/>
      <c r="F12" s="151"/>
    </row>
    <row r="13" spans="1:6" ht="18.75" customHeight="1" x14ac:dyDescent="0.3">
      <c r="A13" s="51" t="s">
        <v>345</v>
      </c>
      <c r="B13" s="152">
        <v>6000</v>
      </c>
      <c r="C13" s="152">
        <v>4751</v>
      </c>
      <c r="D13" s="152">
        <v>-50964.53</v>
      </c>
      <c r="E13" s="152"/>
      <c r="F13" s="152"/>
    </row>
    <row r="14" spans="1:6" s="2" customFormat="1" ht="18.75" customHeight="1" x14ac:dyDescent="0.3">
      <c r="A14" s="179" t="s">
        <v>84</v>
      </c>
      <c r="B14" s="363">
        <f>SUM(B4:B13)</f>
        <v>48500</v>
      </c>
      <c r="C14" s="363">
        <f>SUM(C4:C13)</f>
        <v>54751</v>
      </c>
      <c r="D14" s="363">
        <f>SUM(D4:D13)</f>
        <v>5429</v>
      </c>
      <c r="E14" s="363">
        <f>SUM(E4:E13)</f>
        <v>0</v>
      </c>
      <c r="F14" s="363">
        <f>SUM(F4:F13)</f>
        <v>0</v>
      </c>
    </row>
    <row r="15" spans="1:6" ht="18.75" customHeight="1" x14ac:dyDescent="0.2">
      <c r="C15"/>
      <c r="D15"/>
    </row>
  </sheetData>
  <phoneticPr fontId="18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/>
  </sheetViews>
  <sheetFormatPr defaultColWidth="9.140625" defaultRowHeight="18.75" customHeight="1" x14ac:dyDescent="0.3"/>
  <cols>
    <col min="1" max="1" width="29.7109375" style="93" bestFit="1" customWidth="1"/>
    <col min="2" max="2" width="11" style="41" hidden="1" customWidth="1"/>
    <col min="3" max="4" width="11" style="24" hidden="1" customWidth="1"/>
    <col min="5" max="8" width="10.28515625" style="24" hidden="1" customWidth="1"/>
    <col min="9" max="9" width="0" style="24" hidden="1" customWidth="1"/>
    <col min="10" max="16384" width="9.140625" style="24"/>
  </cols>
  <sheetData>
    <row r="1" spans="1:12" s="42" customFormat="1" ht="18.75" customHeight="1" x14ac:dyDescent="0.3">
      <c r="A1" s="175" t="s">
        <v>273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8.75" customHeight="1" x14ac:dyDescent="0.3">
      <c r="A2" s="9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42" customFormat="1" ht="18.75" customHeight="1" x14ac:dyDescent="0.3">
      <c r="A3" s="37" t="s">
        <v>86</v>
      </c>
      <c r="B3" s="95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s="42" customFormat="1" ht="18.75" customHeight="1" x14ac:dyDescent="0.3">
      <c r="A4" s="37"/>
      <c r="B4" s="124"/>
      <c r="C4" s="124"/>
      <c r="D4" s="124"/>
      <c r="E4" s="124"/>
      <c r="F4" s="520"/>
      <c r="G4" s="520"/>
      <c r="H4" s="520"/>
      <c r="I4" s="520"/>
      <c r="J4" s="520"/>
      <c r="K4" s="520"/>
      <c r="L4" s="520"/>
    </row>
    <row r="5" spans="1:12" s="42" customFormat="1" ht="21.95" customHeight="1" x14ac:dyDescent="0.3">
      <c r="A5" s="59" t="s">
        <v>5</v>
      </c>
      <c r="B5" s="117">
        <v>200</v>
      </c>
      <c r="C5" s="117">
        <v>100</v>
      </c>
      <c r="D5" s="117">
        <v>150</v>
      </c>
      <c r="E5" s="117">
        <v>150</v>
      </c>
      <c r="F5" s="534">
        <v>200</v>
      </c>
      <c r="G5" s="534">
        <v>200</v>
      </c>
      <c r="H5" s="534">
        <v>200</v>
      </c>
      <c r="I5" s="534">
        <v>200</v>
      </c>
      <c r="J5" s="534">
        <v>200</v>
      </c>
      <c r="K5" s="534">
        <v>200</v>
      </c>
      <c r="L5" s="534">
        <v>200</v>
      </c>
    </row>
    <row r="6" spans="1:12" s="42" customFormat="1" ht="21.95" customHeight="1" x14ac:dyDescent="0.3">
      <c r="A6" s="59" t="s">
        <v>360</v>
      </c>
      <c r="B6" s="117">
        <v>300</v>
      </c>
      <c r="C6" s="117">
        <v>150</v>
      </c>
      <c r="D6" s="117">
        <v>150</v>
      </c>
      <c r="E6" s="117">
        <v>150</v>
      </c>
      <c r="F6" s="534">
        <v>150</v>
      </c>
      <c r="G6" s="534">
        <v>0</v>
      </c>
      <c r="H6" s="534">
        <v>100</v>
      </c>
      <c r="I6" s="534">
        <v>100</v>
      </c>
      <c r="J6" s="534">
        <v>100</v>
      </c>
      <c r="K6" s="534">
        <v>100</v>
      </c>
      <c r="L6" s="534">
        <v>100</v>
      </c>
    </row>
    <row r="7" spans="1:12" s="42" customFormat="1" ht="21.95" hidden="1" customHeight="1" x14ac:dyDescent="0.3">
      <c r="A7" s="59" t="s">
        <v>267</v>
      </c>
      <c r="B7" s="117">
        <v>1000</v>
      </c>
      <c r="C7" s="117">
        <v>200</v>
      </c>
      <c r="D7" s="117">
        <v>200</v>
      </c>
      <c r="E7" s="413"/>
      <c r="F7" s="584"/>
      <c r="G7" s="584"/>
      <c r="H7" s="584"/>
      <c r="I7" s="584"/>
      <c r="J7" s="584"/>
      <c r="K7" s="584"/>
      <c r="L7" s="584"/>
    </row>
    <row r="8" spans="1:12" s="42" customFormat="1" ht="21.95" hidden="1" customHeight="1" x14ac:dyDescent="0.3">
      <c r="A8" s="59" t="s">
        <v>6</v>
      </c>
      <c r="B8" s="117">
        <v>125</v>
      </c>
      <c r="C8" s="117">
        <v>125</v>
      </c>
      <c r="D8" s="117">
        <v>100</v>
      </c>
      <c r="E8" s="413"/>
      <c r="F8" s="584"/>
      <c r="G8" s="584"/>
      <c r="H8" s="584"/>
      <c r="I8" s="584"/>
      <c r="J8" s="584"/>
      <c r="K8" s="584"/>
      <c r="L8" s="584"/>
    </row>
    <row r="9" spans="1:12" s="42" customFormat="1" ht="21.95" customHeight="1" x14ac:dyDescent="0.3">
      <c r="A9" s="59" t="s">
        <v>540</v>
      </c>
      <c r="B9" s="49">
        <v>500</v>
      </c>
      <c r="C9" s="117">
        <v>300</v>
      </c>
      <c r="D9" s="117">
        <v>300</v>
      </c>
      <c r="E9" s="413">
        <v>300</v>
      </c>
      <c r="F9" s="584">
        <v>300</v>
      </c>
      <c r="G9" s="584">
        <v>300</v>
      </c>
      <c r="H9" s="584">
        <v>350</v>
      </c>
      <c r="I9" s="584">
        <v>350</v>
      </c>
      <c r="J9" s="584">
        <v>500</v>
      </c>
      <c r="K9" s="584">
        <v>650</v>
      </c>
      <c r="L9" s="584">
        <v>650</v>
      </c>
    </row>
    <row r="10" spans="1:12" s="42" customFormat="1" ht="21.95" customHeight="1" x14ac:dyDescent="0.3">
      <c r="A10" s="59" t="s">
        <v>4</v>
      </c>
      <c r="B10" s="117">
        <v>300</v>
      </c>
      <c r="C10" s="49">
        <v>200</v>
      </c>
      <c r="D10" s="49">
        <v>0</v>
      </c>
      <c r="E10" s="101">
        <v>0</v>
      </c>
      <c r="F10" s="522">
        <v>150</v>
      </c>
      <c r="G10" s="522">
        <v>150</v>
      </c>
      <c r="H10" s="522">
        <v>150</v>
      </c>
      <c r="I10" s="522">
        <v>150</v>
      </c>
      <c r="J10" s="522">
        <v>150</v>
      </c>
      <c r="K10" s="522">
        <v>150</v>
      </c>
      <c r="L10" s="522">
        <v>150</v>
      </c>
    </row>
    <row r="11" spans="1:12" s="42" customFormat="1" ht="21.95" customHeight="1" x14ac:dyDescent="0.3">
      <c r="A11" s="59" t="s">
        <v>3</v>
      </c>
      <c r="B11" s="117">
        <v>300</v>
      </c>
      <c r="C11" s="117">
        <v>200</v>
      </c>
      <c r="D11" s="117">
        <v>0</v>
      </c>
      <c r="E11" s="413">
        <v>0</v>
      </c>
      <c r="F11" s="584">
        <v>150</v>
      </c>
      <c r="G11" s="584">
        <v>150</v>
      </c>
      <c r="H11" s="584">
        <v>150</v>
      </c>
      <c r="I11" s="584">
        <v>150</v>
      </c>
      <c r="J11" s="584">
        <v>150</v>
      </c>
      <c r="K11" s="584">
        <v>150</v>
      </c>
      <c r="L11" s="584">
        <v>150</v>
      </c>
    </row>
    <row r="12" spans="1:12" s="42" customFormat="1" ht="21.95" hidden="1" customHeight="1" x14ac:dyDescent="0.3">
      <c r="A12" s="59" t="s">
        <v>7</v>
      </c>
      <c r="B12" s="117">
        <v>200</v>
      </c>
      <c r="C12" s="117">
        <v>150</v>
      </c>
      <c r="D12" s="117">
        <v>100</v>
      </c>
      <c r="E12" s="413"/>
      <c r="F12" s="584"/>
      <c r="G12" s="584"/>
      <c r="H12" s="584"/>
      <c r="I12" s="584"/>
      <c r="J12" s="584"/>
      <c r="K12" s="584"/>
      <c r="L12" s="584"/>
    </row>
    <row r="13" spans="1:12" s="42" customFormat="1" ht="21.95" hidden="1" customHeight="1" x14ac:dyDescent="0.3">
      <c r="A13" s="59" t="s">
        <v>379</v>
      </c>
      <c r="B13" s="404"/>
      <c r="C13" s="199"/>
      <c r="D13" s="199"/>
      <c r="E13" s="199"/>
      <c r="F13" s="525"/>
      <c r="G13" s="525"/>
      <c r="H13" s="525"/>
      <c r="I13" s="525"/>
      <c r="J13" s="525"/>
      <c r="K13" s="525"/>
      <c r="L13" s="525"/>
    </row>
    <row r="14" spans="1:12" s="42" customFormat="1" ht="21.95" customHeight="1" x14ac:dyDescent="0.3">
      <c r="A14" s="59"/>
      <c r="B14" s="404"/>
      <c r="C14" s="199"/>
      <c r="D14" s="199"/>
      <c r="E14" s="199"/>
      <c r="F14" s="525"/>
      <c r="G14" s="525"/>
      <c r="H14" s="525"/>
      <c r="I14" s="525"/>
      <c r="J14" s="525"/>
      <c r="K14" s="525"/>
      <c r="L14" s="525"/>
    </row>
    <row r="15" spans="1:12" s="42" customFormat="1" ht="21.95" customHeight="1" x14ac:dyDescent="0.3">
      <c r="A15" s="59"/>
      <c r="B15" s="404"/>
      <c r="C15" s="199"/>
      <c r="D15" s="199"/>
      <c r="E15" s="199"/>
      <c r="F15" s="525"/>
      <c r="G15" s="525"/>
      <c r="H15" s="525"/>
      <c r="I15" s="525"/>
      <c r="J15" s="525"/>
      <c r="K15" s="525"/>
      <c r="L15" s="525"/>
    </row>
    <row r="16" spans="1:12" ht="21.95" customHeight="1" thickBot="1" x14ac:dyDescent="0.35">
      <c r="A16" s="94"/>
      <c r="B16" s="200"/>
      <c r="C16" s="201"/>
      <c r="D16" s="201"/>
      <c r="E16" s="201"/>
      <c r="F16" s="585"/>
      <c r="G16" s="585"/>
      <c r="H16" s="585"/>
      <c r="I16" s="585"/>
      <c r="J16" s="585"/>
      <c r="K16" s="585"/>
      <c r="L16" s="585"/>
    </row>
    <row r="17" spans="1:12" ht="21.95" customHeight="1" thickTop="1" x14ac:dyDescent="0.3">
      <c r="A17" s="99" t="s">
        <v>84</v>
      </c>
      <c r="B17" s="85">
        <f t="shared" ref="B17:H17" si="0">SUM(B4:B16)</f>
        <v>2925</v>
      </c>
      <c r="C17" s="85">
        <f t="shared" si="0"/>
        <v>1425</v>
      </c>
      <c r="D17" s="85">
        <f t="shared" si="0"/>
        <v>1000</v>
      </c>
      <c r="E17" s="85">
        <f t="shared" si="0"/>
        <v>600</v>
      </c>
      <c r="F17" s="561">
        <f t="shared" si="0"/>
        <v>950</v>
      </c>
      <c r="G17" s="561">
        <f>SUM(G4:G16)</f>
        <v>800</v>
      </c>
      <c r="H17" s="561">
        <f t="shared" si="0"/>
        <v>950</v>
      </c>
      <c r="I17" s="561">
        <f>SUM(I4:I16)</f>
        <v>950</v>
      </c>
      <c r="J17" s="561">
        <f>SUM(J4:J16)</f>
        <v>1100</v>
      </c>
      <c r="K17" s="561">
        <f>SUM(K4:K16)</f>
        <v>1250</v>
      </c>
      <c r="L17" s="561">
        <f>SUM(L4:L16)</f>
        <v>1250</v>
      </c>
    </row>
    <row r="18" spans="1:12" ht="18.75" customHeight="1" x14ac:dyDescent="0.3">
      <c r="A18" s="107"/>
      <c r="B18" s="107"/>
    </row>
    <row r="19" spans="1:12" ht="18.75" customHeight="1" x14ac:dyDescent="0.3">
      <c r="A19" s="107"/>
      <c r="B19" s="107"/>
    </row>
    <row r="20" spans="1:12" ht="18.75" customHeight="1" x14ac:dyDescent="0.3">
      <c r="A20" s="107"/>
      <c r="B20" s="107"/>
    </row>
    <row r="21" spans="1:12" ht="18.75" customHeight="1" x14ac:dyDescent="0.3">
      <c r="A21" s="107"/>
      <c r="B21" s="107"/>
    </row>
    <row r="22" spans="1:12" ht="18.75" customHeight="1" x14ac:dyDescent="0.3">
      <c r="A22" s="107"/>
      <c r="B22" s="107"/>
    </row>
    <row r="23" spans="1:12" ht="18.75" customHeight="1" x14ac:dyDescent="0.3">
      <c r="A23" s="107"/>
      <c r="B23" s="107"/>
    </row>
    <row r="24" spans="1:12" ht="18.75" customHeight="1" x14ac:dyDescent="0.3">
      <c r="A24" s="107"/>
      <c r="B24" s="107"/>
    </row>
    <row r="25" spans="1:12" ht="18.75" customHeight="1" x14ac:dyDescent="0.3">
      <c r="A25" s="107"/>
      <c r="B25" s="107"/>
    </row>
    <row r="26" spans="1:12" ht="18.75" customHeight="1" x14ac:dyDescent="0.3">
      <c r="A26" s="107"/>
      <c r="B26" s="107"/>
    </row>
    <row r="27" spans="1:12" ht="18.75" customHeight="1" x14ac:dyDescent="0.3">
      <c r="A27" s="107"/>
      <c r="B27" s="107"/>
    </row>
    <row r="28" spans="1:12" ht="18.75" customHeight="1" x14ac:dyDescent="0.3">
      <c r="A28" s="107"/>
      <c r="B28" s="107"/>
    </row>
    <row r="29" spans="1:12" ht="18.75" customHeight="1" x14ac:dyDescent="0.3">
      <c r="A29" s="107"/>
      <c r="B29" s="107"/>
    </row>
    <row r="30" spans="1:12" ht="18.75" customHeight="1" x14ac:dyDescent="0.3">
      <c r="A30" s="107"/>
      <c r="B30" s="107"/>
    </row>
    <row r="31" spans="1:12" ht="18.75" customHeight="1" x14ac:dyDescent="0.3">
      <c r="A31" s="107"/>
      <c r="B31" s="107"/>
    </row>
    <row r="32" spans="1:12" ht="18.75" customHeight="1" x14ac:dyDescent="0.3">
      <c r="A32" s="107"/>
      <c r="B32" s="107"/>
    </row>
    <row r="33" spans="1:2" ht="18.75" customHeight="1" x14ac:dyDescent="0.3">
      <c r="A33" s="107"/>
      <c r="B33" s="107"/>
    </row>
  </sheetData>
  <sortState ref="A5:E13">
    <sortCondition ref="A5"/>
  </sortState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ColWidth="9.140625" defaultRowHeight="18.75" customHeight="1" x14ac:dyDescent="0.3"/>
  <cols>
    <col min="1" max="1" width="32.5703125" style="93" bestFit="1" customWidth="1"/>
    <col min="2" max="8" width="10.7109375" style="24" hidden="1" customWidth="1"/>
    <col min="9" max="9" width="0" style="24" hidden="1" customWidth="1"/>
    <col min="10" max="16384" width="9.140625" style="24"/>
  </cols>
  <sheetData>
    <row r="1" spans="1:12" s="42" customFormat="1" ht="18.75" customHeight="1" x14ac:dyDescent="0.3">
      <c r="A1" s="175" t="s">
        <v>427</v>
      </c>
      <c r="B1" s="162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customHeight="1" x14ac:dyDescent="0.3">
      <c r="A2" s="94"/>
      <c r="B2" s="45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42" customFormat="1" ht="18.75" customHeight="1" x14ac:dyDescent="0.3">
      <c r="A3" s="37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s="119" customFormat="1" ht="18.75" customHeight="1" x14ac:dyDescent="0.3">
      <c r="A4" s="365"/>
      <c r="B4" s="204"/>
      <c r="C4" s="204"/>
      <c r="D4" s="204"/>
      <c r="E4" s="204"/>
      <c r="F4" s="513"/>
      <c r="G4" s="513"/>
      <c r="H4" s="513"/>
      <c r="I4" s="513"/>
      <c r="J4" s="513"/>
      <c r="K4" s="513"/>
      <c r="L4" s="513"/>
    </row>
    <row r="5" spans="1:12" s="42" customFormat="1" ht="18.75" hidden="1" customHeight="1" x14ac:dyDescent="0.3">
      <c r="A5" s="59" t="s">
        <v>260</v>
      </c>
      <c r="B5" s="58">
        <v>400</v>
      </c>
      <c r="C5" s="58"/>
      <c r="D5" s="58"/>
      <c r="E5" s="58"/>
      <c r="F5" s="466"/>
      <c r="G5" s="466"/>
      <c r="H5" s="466"/>
      <c r="I5" s="466"/>
      <c r="J5" s="466"/>
      <c r="K5" s="466"/>
      <c r="L5" s="466"/>
    </row>
    <row r="6" spans="1:12" ht="18.75" customHeight="1" x14ac:dyDescent="0.3">
      <c r="A6" s="59" t="s">
        <v>563</v>
      </c>
      <c r="B6" s="58">
        <v>400</v>
      </c>
      <c r="C6" s="58"/>
      <c r="D6" s="156">
        <v>1700</v>
      </c>
      <c r="E6" s="156">
        <v>4400</v>
      </c>
      <c r="F6" s="467">
        <v>5000</v>
      </c>
      <c r="G6" s="467">
        <f>2000*2</f>
        <v>4000</v>
      </c>
      <c r="H6" s="467">
        <f>2200*2</f>
        <v>4400</v>
      </c>
      <c r="I6" s="467">
        <f>2200*2</f>
        <v>4400</v>
      </c>
      <c r="J6" s="467">
        <f>2050+2050</f>
        <v>4100</v>
      </c>
      <c r="K6" s="467">
        <f>2050+2050</f>
        <v>4100</v>
      </c>
      <c r="L6" s="467">
        <f>2050+2050</f>
        <v>4100</v>
      </c>
    </row>
    <row r="7" spans="1:12" s="42" customFormat="1" ht="18.75" customHeight="1" x14ac:dyDescent="0.3">
      <c r="A7" s="59" t="s">
        <v>142</v>
      </c>
      <c r="B7" s="38">
        <v>600</v>
      </c>
      <c r="C7" s="38">
        <v>400</v>
      </c>
      <c r="D7" s="38">
        <v>500</v>
      </c>
      <c r="E7" s="38">
        <v>500</v>
      </c>
      <c r="F7" s="477">
        <v>800</v>
      </c>
      <c r="G7" s="477">
        <v>1000</v>
      </c>
      <c r="H7" s="477">
        <v>1000</v>
      </c>
      <c r="I7" s="477">
        <v>1000</v>
      </c>
      <c r="J7" s="477">
        <v>1200</v>
      </c>
      <c r="K7" s="477">
        <v>1200</v>
      </c>
      <c r="L7" s="477">
        <v>1200</v>
      </c>
    </row>
    <row r="8" spans="1:12" ht="16.5" customHeight="1" x14ac:dyDescent="0.3">
      <c r="A8" s="59" t="s">
        <v>431</v>
      </c>
      <c r="B8" s="38">
        <v>1000</v>
      </c>
      <c r="C8" s="38">
        <v>500</v>
      </c>
      <c r="D8" s="38">
        <v>600</v>
      </c>
      <c r="E8" s="38">
        <v>600</v>
      </c>
      <c r="F8" s="477">
        <v>1000</v>
      </c>
      <c r="G8" s="477">
        <v>1500</v>
      </c>
      <c r="H8" s="477">
        <v>2100</v>
      </c>
      <c r="I8" s="477">
        <v>1800</v>
      </c>
      <c r="J8" s="477">
        <f>850+800+220+800+780</f>
        <v>3450</v>
      </c>
      <c r="K8" s="477">
        <f>850+800+220+800+780</f>
        <v>3450</v>
      </c>
      <c r="L8" s="477">
        <f>850+800+220+800+780</f>
        <v>3450</v>
      </c>
    </row>
    <row r="9" spans="1:12" ht="16.5" x14ac:dyDescent="0.3">
      <c r="A9" s="59" t="s">
        <v>71</v>
      </c>
      <c r="B9" s="38"/>
      <c r="C9" s="38">
        <v>100</v>
      </c>
      <c r="D9" s="38">
        <v>100</v>
      </c>
      <c r="E9" s="38">
        <v>100</v>
      </c>
      <c r="F9" s="477">
        <v>100</v>
      </c>
      <c r="G9" s="477">
        <v>200</v>
      </c>
      <c r="H9" s="477">
        <v>200</v>
      </c>
      <c r="I9" s="477">
        <v>200</v>
      </c>
      <c r="J9" s="477">
        <v>250</v>
      </c>
      <c r="K9" s="477">
        <v>250</v>
      </c>
      <c r="L9" s="477">
        <v>250</v>
      </c>
    </row>
    <row r="10" spans="1:12" ht="16.5" x14ac:dyDescent="0.3">
      <c r="A10" s="59" t="s">
        <v>460</v>
      </c>
      <c r="B10" s="58"/>
      <c r="C10" s="58"/>
      <c r="D10" s="58"/>
      <c r="E10" s="58"/>
      <c r="F10" s="466">
        <v>2000</v>
      </c>
      <c r="G10" s="466">
        <v>2500</v>
      </c>
      <c r="H10" s="466">
        <v>3000</v>
      </c>
      <c r="I10" s="466">
        <v>3200</v>
      </c>
      <c r="J10" s="466">
        <f>350+900+900+800+2500</f>
        <v>5450</v>
      </c>
      <c r="K10" s="466">
        <f>350+900+900+800+2500</f>
        <v>5450</v>
      </c>
      <c r="L10" s="466">
        <f>350+900+900+800+2500</f>
        <v>5450</v>
      </c>
    </row>
    <row r="11" spans="1:12" ht="16.5" hidden="1" customHeight="1" x14ac:dyDescent="0.3">
      <c r="A11" s="59" t="s">
        <v>461</v>
      </c>
      <c r="B11" s="103"/>
      <c r="C11" s="103"/>
      <c r="D11" s="103"/>
      <c r="E11" s="103"/>
      <c r="F11" s="556">
        <v>2000</v>
      </c>
      <c r="G11" s="556">
        <v>2000</v>
      </c>
      <c r="H11" s="556">
        <v>2000</v>
      </c>
      <c r="I11" s="556">
        <v>2000</v>
      </c>
      <c r="J11" s="556">
        <v>0</v>
      </c>
      <c r="K11" s="556">
        <v>0</v>
      </c>
      <c r="L11" s="556">
        <v>0</v>
      </c>
    </row>
    <row r="12" spans="1:12" ht="16.5" hidden="1" customHeight="1" x14ac:dyDescent="0.3">
      <c r="A12" s="59" t="s">
        <v>517</v>
      </c>
      <c r="B12" s="103"/>
      <c r="C12" s="103"/>
      <c r="D12" s="103"/>
      <c r="E12" s="103"/>
      <c r="F12" s="556">
        <v>0</v>
      </c>
      <c r="G12" s="556">
        <v>0</v>
      </c>
      <c r="H12" s="556">
        <v>3000</v>
      </c>
      <c r="I12" s="556">
        <v>0</v>
      </c>
      <c r="J12" s="556">
        <v>0</v>
      </c>
      <c r="K12" s="556">
        <v>0</v>
      </c>
      <c r="L12" s="556">
        <v>0</v>
      </c>
    </row>
    <row r="13" spans="1:12" ht="16.5" hidden="1" customHeight="1" x14ac:dyDescent="0.3">
      <c r="A13" s="59" t="s">
        <v>541</v>
      </c>
      <c r="B13" s="103"/>
      <c r="C13" s="103"/>
      <c r="D13" s="103"/>
      <c r="E13" s="103"/>
      <c r="F13" s="556"/>
      <c r="G13" s="556"/>
      <c r="H13" s="556">
        <v>0</v>
      </c>
      <c r="I13" s="556">
        <v>18000</v>
      </c>
      <c r="J13" s="556">
        <v>0</v>
      </c>
      <c r="K13" s="556">
        <v>0</v>
      </c>
      <c r="L13" s="556">
        <v>0</v>
      </c>
    </row>
    <row r="14" spans="1:12" ht="16.5" customHeight="1" x14ac:dyDescent="0.3">
      <c r="A14" s="59" t="s">
        <v>599</v>
      </c>
      <c r="B14" s="103"/>
      <c r="C14" s="103"/>
      <c r="D14" s="103"/>
      <c r="E14" s="103"/>
      <c r="F14" s="556"/>
      <c r="G14" s="556"/>
      <c r="H14" s="556"/>
      <c r="I14" s="556"/>
      <c r="J14" s="556">
        <f>((175*3)+(5000*0.5)+(5000*0.18))*2</f>
        <v>7850</v>
      </c>
      <c r="K14" s="556">
        <v>8000</v>
      </c>
      <c r="L14" s="556">
        <v>8000</v>
      </c>
    </row>
    <row r="15" spans="1:12" ht="16.5" customHeight="1" x14ac:dyDescent="0.3">
      <c r="A15" s="59"/>
      <c r="B15" s="103">
        <v>-1000</v>
      </c>
      <c r="C15" s="103"/>
      <c r="D15" s="103"/>
      <c r="E15" s="103"/>
      <c r="F15" s="556"/>
      <c r="G15" s="556"/>
      <c r="H15" s="556"/>
      <c r="I15" s="556"/>
      <c r="J15" s="556"/>
      <c r="K15" s="556"/>
      <c r="L15" s="556"/>
    </row>
    <row r="16" spans="1:12" ht="18.75" customHeight="1" x14ac:dyDescent="0.3">
      <c r="A16" s="179" t="s">
        <v>84</v>
      </c>
      <c r="B16" s="366">
        <f t="shared" ref="B16:H16" si="0">SUM(B5:B15)</f>
        <v>1400</v>
      </c>
      <c r="C16" s="366">
        <f t="shared" si="0"/>
        <v>1000</v>
      </c>
      <c r="D16" s="366">
        <f t="shared" si="0"/>
        <v>2900</v>
      </c>
      <c r="E16" s="366">
        <f t="shared" si="0"/>
        <v>5600</v>
      </c>
      <c r="F16" s="586">
        <f t="shared" si="0"/>
        <v>10900</v>
      </c>
      <c r="G16" s="586">
        <f>SUM(G5:G15)</f>
        <v>11200</v>
      </c>
      <c r="H16" s="586">
        <f t="shared" si="0"/>
        <v>15700</v>
      </c>
      <c r="I16" s="586">
        <f>SUM(I5:I15)</f>
        <v>30600</v>
      </c>
      <c r="J16" s="586">
        <f>SUM(J5:J15)</f>
        <v>22300</v>
      </c>
      <c r="K16" s="586">
        <f>SUM(K5:K15)</f>
        <v>22450</v>
      </c>
      <c r="L16" s="586">
        <f>SUM(L5:L15)</f>
        <v>22450</v>
      </c>
    </row>
    <row r="17" spans="1:4" ht="18.75" customHeight="1" x14ac:dyDescent="0.3">
      <c r="A17" s="24"/>
      <c r="B17" s="107"/>
      <c r="C17" s="107"/>
      <c r="D17" s="107"/>
    </row>
    <row r="18" spans="1:4" ht="18.75" customHeight="1" x14ac:dyDescent="0.3">
      <c r="A18" s="24"/>
      <c r="B18" s="107"/>
    </row>
    <row r="19" spans="1:4" ht="18.75" customHeight="1" x14ac:dyDescent="0.3">
      <c r="A19" s="24"/>
      <c r="B19" s="107"/>
    </row>
    <row r="20" spans="1:4" ht="18.75" customHeight="1" x14ac:dyDescent="0.3">
      <c r="A20" s="107"/>
    </row>
    <row r="21" spans="1:4" ht="18.75" customHeight="1" x14ac:dyDescent="0.3">
      <c r="A21" s="107"/>
    </row>
    <row r="22" spans="1:4" ht="18.75" customHeight="1" x14ac:dyDescent="0.3">
      <c r="A22" s="107"/>
    </row>
    <row r="23" spans="1:4" ht="18.75" customHeight="1" x14ac:dyDescent="0.3">
      <c r="A23" s="107"/>
    </row>
    <row r="24" spans="1:4" ht="18.75" customHeight="1" x14ac:dyDescent="0.3">
      <c r="A24" s="107"/>
    </row>
    <row r="25" spans="1:4" ht="18.75" customHeight="1" x14ac:dyDescent="0.3">
      <c r="A25" s="107"/>
    </row>
    <row r="26" spans="1:4" ht="18.75" customHeight="1" x14ac:dyDescent="0.3">
      <c r="A26" s="107"/>
    </row>
    <row r="27" spans="1:4" ht="18.75" customHeight="1" x14ac:dyDescent="0.3">
      <c r="A27" s="107"/>
    </row>
    <row r="28" spans="1:4" ht="18.75" customHeight="1" x14ac:dyDescent="0.3">
      <c r="A28" s="107"/>
    </row>
    <row r="29" spans="1:4" ht="18.75" customHeight="1" x14ac:dyDescent="0.3">
      <c r="A29" s="107"/>
    </row>
    <row r="30" spans="1:4" ht="18.75" customHeight="1" x14ac:dyDescent="0.3">
      <c r="A30" s="107"/>
    </row>
    <row r="31" spans="1:4" ht="18.75" customHeight="1" x14ac:dyDescent="0.3">
      <c r="A31" s="107"/>
    </row>
    <row r="32" spans="1:4" ht="18.75" customHeight="1" x14ac:dyDescent="0.3">
      <c r="A32" s="107"/>
    </row>
  </sheetData>
  <sortState ref="A5:E10">
    <sortCondition ref="A5"/>
  </sortState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/>
  </sheetViews>
  <sheetFormatPr defaultColWidth="9.140625" defaultRowHeight="18.75" customHeight="1" x14ac:dyDescent="0.2"/>
  <cols>
    <col min="1" max="1" width="34.28515625" style="3" bestFit="1" customWidth="1"/>
    <col min="2" max="6" width="10.7109375" style="1" hidden="1" customWidth="1"/>
    <col min="7" max="8" width="11.42578125" style="1" hidden="1" customWidth="1"/>
    <col min="9" max="9" width="0" style="1" hidden="1" customWidth="1"/>
    <col min="10" max="16384" width="9.140625" style="1"/>
  </cols>
  <sheetData>
    <row r="1" spans="1:12" s="2" customFormat="1" ht="18.75" customHeight="1" x14ac:dyDescent="0.25">
      <c r="A1" s="409" t="s">
        <v>389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18.75" customHeight="1" x14ac:dyDescent="0.25">
      <c r="A2" s="63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s="2" customFormat="1" ht="18.75" customHeight="1" x14ac:dyDescent="0.25">
      <c r="A3" s="26" t="s">
        <v>86</v>
      </c>
      <c r="B3" s="29">
        <v>2010</v>
      </c>
      <c r="C3" s="29">
        <v>2013</v>
      </c>
      <c r="D3" s="29">
        <v>2014</v>
      </c>
      <c r="E3" s="29">
        <v>2015</v>
      </c>
      <c r="F3" s="29">
        <v>2016</v>
      </c>
      <c r="G3" s="29">
        <v>2017</v>
      </c>
      <c r="H3" s="29">
        <v>2018</v>
      </c>
      <c r="I3" s="29">
        <v>2019</v>
      </c>
      <c r="J3" s="29">
        <v>2020</v>
      </c>
      <c r="K3" s="29">
        <v>2021</v>
      </c>
      <c r="L3" s="29">
        <v>2022</v>
      </c>
    </row>
    <row r="4" spans="1:12" s="6" customFormat="1" ht="18.75" customHeight="1" x14ac:dyDescent="0.3">
      <c r="A4" s="676"/>
      <c r="B4" s="97"/>
      <c r="C4" s="97"/>
      <c r="D4" s="97"/>
      <c r="E4" s="97"/>
      <c r="F4" s="513"/>
      <c r="G4" s="513"/>
      <c r="H4" s="513"/>
      <c r="I4" s="513"/>
      <c r="J4" s="513"/>
      <c r="K4" s="513"/>
      <c r="L4" s="513"/>
    </row>
    <row r="5" spans="1:12" ht="18.75" customHeight="1" x14ac:dyDescent="0.3">
      <c r="A5" s="225" t="s">
        <v>277</v>
      </c>
      <c r="B5" s="38">
        <v>24000</v>
      </c>
      <c r="C5" s="38">
        <v>23253</v>
      </c>
      <c r="D5" s="400">
        <f>C5*1.05</f>
        <v>24415.65</v>
      </c>
      <c r="E5" s="400">
        <v>23800</v>
      </c>
      <c r="F5" s="476">
        <v>26180</v>
      </c>
      <c r="G5" s="476">
        <v>28798</v>
      </c>
      <c r="H5" s="476">
        <v>28500</v>
      </c>
      <c r="I5" s="476">
        <f>H5*1.07</f>
        <v>30495</v>
      </c>
      <c r="J5" s="476">
        <f>I5*1.07</f>
        <v>32629.65</v>
      </c>
      <c r="K5" s="476">
        <f>J5*1.07</f>
        <v>34913.7255</v>
      </c>
      <c r="L5" s="476">
        <f>K5*1.12</f>
        <v>39103.372560000003</v>
      </c>
    </row>
    <row r="6" spans="1:12" ht="18.75" customHeight="1" x14ac:dyDescent="0.3">
      <c r="A6" s="225" t="s">
        <v>276</v>
      </c>
      <c r="B6" s="38"/>
      <c r="C6" s="38"/>
      <c r="D6" s="38"/>
      <c r="E6" s="38"/>
      <c r="F6" s="477"/>
      <c r="G6" s="476"/>
      <c r="H6" s="476"/>
      <c r="I6" s="476"/>
      <c r="J6" s="476"/>
      <c r="K6" s="476"/>
      <c r="L6" s="476"/>
    </row>
    <row r="7" spans="1:12" ht="18.75" customHeight="1" x14ac:dyDescent="0.3">
      <c r="A7" s="64"/>
      <c r="B7" s="38"/>
      <c r="C7" s="38"/>
      <c r="D7" s="38"/>
      <c r="E7" s="38"/>
      <c r="F7" s="477"/>
      <c r="G7" s="476"/>
      <c r="H7" s="476"/>
      <c r="I7" s="476"/>
      <c r="J7" s="476"/>
      <c r="K7" s="476"/>
      <c r="L7" s="476"/>
    </row>
    <row r="8" spans="1:12" ht="18.75" customHeight="1" x14ac:dyDescent="0.3">
      <c r="A8" s="241"/>
      <c r="B8" s="38"/>
      <c r="C8" s="38"/>
      <c r="D8" s="38"/>
      <c r="E8" s="38"/>
      <c r="F8" s="477"/>
      <c r="G8" s="476"/>
      <c r="H8" s="476"/>
      <c r="I8" s="476"/>
      <c r="J8" s="476"/>
      <c r="K8" s="476"/>
      <c r="L8" s="476"/>
    </row>
    <row r="9" spans="1:12" ht="18.75" customHeight="1" x14ac:dyDescent="0.3">
      <c r="A9" s="64"/>
      <c r="B9" s="139"/>
      <c r="C9" s="38"/>
      <c r="D9" s="38"/>
      <c r="E9" s="38"/>
      <c r="F9" s="477"/>
      <c r="G9" s="476"/>
      <c r="H9" s="476"/>
      <c r="I9" s="476"/>
      <c r="J9" s="476"/>
      <c r="K9" s="476"/>
      <c r="L9" s="476"/>
    </row>
    <row r="10" spans="1:12" ht="18.75" customHeight="1" thickBot="1" x14ac:dyDescent="0.35">
      <c r="A10" s="64"/>
      <c r="B10" s="247">
        <v>-5480</v>
      </c>
      <c r="C10" s="39"/>
      <c r="D10" s="39"/>
      <c r="E10" s="39"/>
      <c r="F10" s="478"/>
      <c r="G10" s="479"/>
      <c r="H10" s="479"/>
      <c r="I10" s="479"/>
      <c r="J10" s="479"/>
      <c r="K10" s="479"/>
      <c r="L10" s="479"/>
    </row>
    <row r="11" spans="1:12" s="2" customFormat="1" ht="18.75" customHeight="1" thickTop="1" x14ac:dyDescent="0.3">
      <c r="A11" s="143" t="s">
        <v>84</v>
      </c>
      <c r="B11" s="40">
        <f t="shared" ref="B11:H11" si="0">SUM(B4:B10)</f>
        <v>18520</v>
      </c>
      <c r="C11" s="40">
        <f t="shared" si="0"/>
        <v>23253</v>
      </c>
      <c r="D11" s="40">
        <f t="shared" si="0"/>
        <v>24415.65</v>
      </c>
      <c r="E11" s="40">
        <f t="shared" si="0"/>
        <v>23800</v>
      </c>
      <c r="F11" s="480">
        <f t="shared" si="0"/>
        <v>26180</v>
      </c>
      <c r="G11" s="481">
        <f>SUM(G4:G10)</f>
        <v>28798</v>
      </c>
      <c r="H11" s="481">
        <f t="shared" si="0"/>
        <v>28500</v>
      </c>
      <c r="I11" s="481">
        <f>SUM(I4:I10)</f>
        <v>30495</v>
      </c>
      <c r="J11" s="481">
        <f>SUM(J4:J10)</f>
        <v>32629.65</v>
      </c>
      <c r="K11" s="481">
        <f>SUM(K4:K10)</f>
        <v>34913.7255</v>
      </c>
      <c r="L11" s="481">
        <f>SUM(L4:L10)</f>
        <v>39103.372560000003</v>
      </c>
    </row>
    <row r="12" spans="1:12" ht="18.75" customHeight="1" x14ac:dyDescent="0.25">
      <c r="A12" s="21"/>
      <c r="B12" s="23"/>
      <c r="C12" s="23"/>
    </row>
    <row r="13" spans="1:12" ht="18.75" customHeight="1" x14ac:dyDescent="0.25">
      <c r="A13" s="218"/>
      <c r="B13" s="23"/>
      <c r="C13" s="23"/>
    </row>
    <row r="14" spans="1:12" ht="18.75" customHeight="1" x14ac:dyDescent="0.3">
      <c r="A14" s="194"/>
      <c r="B14" s="23"/>
      <c r="C14" s="23"/>
    </row>
    <row r="15" spans="1:12" ht="18.75" customHeight="1" x14ac:dyDescent="0.3">
      <c r="A15" s="194"/>
      <c r="B15" s="23"/>
      <c r="C15" s="23"/>
    </row>
    <row r="16" spans="1:12" ht="18.75" customHeight="1" x14ac:dyDescent="0.25">
      <c r="A16" s="91"/>
      <c r="B16" s="23"/>
    </row>
    <row r="17" spans="1:8" ht="18.75" customHeight="1" x14ac:dyDescent="0.25">
      <c r="A17" s="91"/>
      <c r="B17" s="23"/>
    </row>
    <row r="18" spans="1:8" ht="18.75" customHeight="1" x14ac:dyDescent="0.25">
      <c r="A18" s="91"/>
    </row>
    <row r="19" spans="1:8" ht="18.75" customHeight="1" x14ac:dyDescent="0.3">
      <c r="A19" s="16"/>
    </row>
    <row r="20" spans="1:8" ht="18.75" customHeight="1" x14ac:dyDescent="0.3">
      <c r="B20" s="24"/>
      <c r="C20" s="24"/>
      <c r="D20" s="24"/>
      <c r="E20" s="24"/>
      <c r="F20" s="24"/>
      <c r="G20" s="24"/>
      <c r="H20" s="24"/>
    </row>
    <row r="21" spans="1:8" ht="18.75" customHeight="1" x14ac:dyDescent="0.3">
      <c r="A21" s="16"/>
      <c r="B21" s="24"/>
      <c r="C21" s="24"/>
      <c r="D21" s="24"/>
      <c r="E21" s="24"/>
      <c r="F21" s="24"/>
      <c r="G21" s="24"/>
      <c r="H21" s="24"/>
    </row>
    <row r="22" spans="1:8" ht="18.75" customHeight="1" x14ac:dyDescent="0.3">
      <c r="A22" s="16"/>
      <c r="B22" s="24"/>
      <c r="C22" s="24"/>
      <c r="D22" s="24"/>
      <c r="E22" s="24"/>
      <c r="F22" s="24"/>
      <c r="G22" s="24"/>
      <c r="H22" s="24"/>
    </row>
    <row r="23" spans="1:8" ht="18.75" customHeight="1" x14ac:dyDescent="0.3">
      <c r="A23" s="16"/>
      <c r="B23" s="24"/>
      <c r="C23" s="24"/>
      <c r="D23" s="24"/>
      <c r="E23" s="24"/>
      <c r="F23" s="24"/>
      <c r="G23" s="24"/>
      <c r="H23" s="24"/>
    </row>
    <row r="24" spans="1:8" ht="18.75" customHeight="1" x14ac:dyDescent="0.3">
      <c r="A24" s="16"/>
      <c r="B24" s="24"/>
      <c r="C24" s="24"/>
      <c r="D24" s="24"/>
      <c r="E24" s="24"/>
      <c r="F24" s="24"/>
      <c r="G24" s="24"/>
      <c r="H24" s="24"/>
    </row>
    <row r="25" spans="1:8" ht="18.75" customHeight="1" x14ac:dyDescent="0.3">
      <c r="A25" s="16"/>
      <c r="B25" s="24"/>
      <c r="C25" s="24"/>
      <c r="D25" s="24"/>
      <c r="E25" s="24"/>
      <c r="F25" s="24"/>
      <c r="G25" s="24"/>
      <c r="H25" s="24"/>
    </row>
    <row r="26" spans="1:8" ht="18.75" customHeight="1" x14ac:dyDescent="0.3">
      <c r="A26" s="16"/>
      <c r="B26" s="24"/>
      <c r="C26" s="24"/>
      <c r="D26" s="24"/>
      <c r="E26" s="24"/>
      <c r="F26" s="24"/>
      <c r="G26" s="24"/>
      <c r="H26" s="24"/>
    </row>
    <row r="27" spans="1:8" ht="18.75" customHeight="1" x14ac:dyDescent="0.3">
      <c r="A27" s="16"/>
      <c r="B27" s="24"/>
      <c r="C27" s="24"/>
      <c r="D27" s="24"/>
      <c r="E27" s="24"/>
      <c r="F27" s="24"/>
      <c r="G27" s="24"/>
      <c r="H27" s="24"/>
    </row>
    <row r="28" spans="1:8" ht="18.75" customHeight="1" x14ac:dyDescent="0.3">
      <c r="A28" s="16"/>
      <c r="B28" s="24"/>
      <c r="C28" s="24"/>
      <c r="D28" s="24"/>
      <c r="E28" s="24"/>
      <c r="F28" s="24"/>
      <c r="G28" s="24"/>
      <c r="H28" s="24"/>
    </row>
    <row r="29" spans="1:8" ht="18.75" customHeight="1" x14ac:dyDescent="0.3">
      <c r="A29" s="16"/>
      <c r="B29" s="24"/>
      <c r="C29" s="24"/>
      <c r="D29" s="24"/>
      <c r="E29" s="24"/>
      <c r="F29" s="24"/>
      <c r="G29" s="24"/>
      <c r="H29" s="24"/>
    </row>
    <row r="30" spans="1:8" ht="18.75" customHeight="1" x14ac:dyDescent="0.3">
      <c r="A30" s="16"/>
      <c r="B30" s="24"/>
      <c r="C30" s="24"/>
      <c r="D30" s="24"/>
      <c r="E30" s="24"/>
      <c r="F30" s="24"/>
      <c r="G30" s="24"/>
      <c r="H30" s="24"/>
    </row>
    <row r="31" spans="1:8" ht="18.75" customHeight="1" x14ac:dyDescent="0.3">
      <c r="A31" s="16"/>
      <c r="B31" s="24"/>
      <c r="C31" s="24"/>
      <c r="D31" s="24"/>
      <c r="E31" s="24"/>
      <c r="F31" s="24"/>
      <c r="G31" s="24"/>
      <c r="H31" s="24"/>
    </row>
    <row r="32" spans="1:8" ht="18.75" customHeight="1" x14ac:dyDescent="0.3">
      <c r="A32" s="16"/>
      <c r="B32" s="24"/>
      <c r="C32" s="24"/>
      <c r="D32" s="24"/>
      <c r="E32" s="24"/>
      <c r="F32" s="24"/>
      <c r="G32" s="24"/>
      <c r="H32" s="24"/>
    </row>
    <row r="33" spans="1:8" ht="18.75" customHeight="1" x14ac:dyDescent="0.3">
      <c r="A33" s="16"/>
      <c r="B33" s="24"/>
      <c r="C33" s="24"/>
      <c r="D33" s="24"/>
      <c r="E33" s="24"/>
      <c r="F33" s="24"/>
      <c r="G33" s="24"/>
      <c r="H33" s="24"/>
    </row>
    <row r="34" spans="1:8" ht="18.75" customHeight="1" x14ac:dyDescent="0.3">
      <c r="A34" s="16"/>
      <c r="B34" s="24"/>
      <c r="C34" s="24"/>
      <c r="D34" s="24"/>
      <c r="E34" s="24"/>
      <c r="F34" s="24"/>
      <c r="G34" s="24"/>
      <c r="H34" s="24"/>
    </row>
    <row r="35" spans="1:8" ht="18.75" customHeight="1" x14ac:dyDescent="0.3">
      <c r="A35" s="93"/>
      <c r="B35" s="24"/>
      <c r="C35" s="24"/>
      <c r="D35" s="24"/>
      <c r="E35" s="24"/>
      <c r="F35" s="24"/>
      <c r="G35" s="24"/>
      <c r="H35" s="24"/>
    </row>
    <row r="36" spans="1:8" ht="18.75" customHeight="1" x14ac:dyDescent="0.3">
      <c r="A36" s="93"/>
      <c r="B36" s="24"/>
      <c r="C36" s="24"/>
      <c r="D36" s="24"/>
      <c r="E36" s="24"/>
      <c r="F36" s="24"/>
      <c r="G36" s="24"/>
      <c r="H36" s="24"/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8.75" customHeight="1" x14ac:dyDescent="0.25"/>
  <cols>
    <col min="1" max="1" width="35.85546875" style="56" bestFit="1" customWidth="1"/>
    <col min="2" max="3" width="9.28515625" style="23" hidden="1" customWidth="1"/>
    <col min="4" max="4" width="0" style="23" hidden="1" customWidth="1"/>
    <col min="5" max="5" width="8.85546875" style="23" hidden="1" customWidth="1"/>
    <col min="6" max="7" width="9.5703125" style="23" hidden="1" customWidth="1"/>
    <col min="8" max="8" width="9.28515625" style="23" hidden="1" customWidth="1"/>
    <col min="9" max="9" width="11.28515625" style="23" hidden="1" customWidth="1"/>
    <col min="10" max="12" width="11" style="23" bestFit="1" customWidth="1"/>
    <col min="13" max="16384" width="9.140625" style="23"/>
  </cols>
  <sheetData>
    <row r="1" spans="1:13" s="89" customFormat="1" ht="18.75" customHeight="1" x14ac:dyDescent="0.25">
      <c r="A1" s="408" t="s">
        <v>153</v>
      </c>
      <c r="B1" s="168"/>
      <c r="C1" s="168"/>
      <c r="D1" s="87"/>
      <c r="E1" s="397"/>
      <c r="F1" s="397"/>
      <c r="G1" s="168"/>
      <c r="H1" s="168"/>
      <c r="I1" s="168"/>
      <c r="J1" s="168"/>
      <c r="K1" s="168"/>
      <c r="L1" s="168"/>
      <c r="M1" s="169"/>
    </row>
    <row r="2" spans="1:13" ht="18.75" customHeight="1" x14ac:dyDescent="0.3">
      <c r="A2" s="122"/>
      <c r="B2" s="63"/>
      <c r="C2" s="63"/>
      <c r="D2" s="47"/>
      <c r="E2" s="398"/>
      <c r="F2" s="398"/>
      <c r="G2" s="63"/>
      <c r="H2" s="63"/>
      <c r="I2" s="63"/>
      <c r="J2" s="63"/>
      <c r="K2" s="63"/>
      <c r="L2" s="63"/>
      <c r="M2" s="170"/>
    </row>
    <row r="3" spans="1:13" s="89" customFormat="1" ht="18.75" customHeight="1" x14ac:dyDescent="0.3">
      <c r="A3" s="33" t="s">
        <v>86</v>
      </c>
      <c r="B3" s="29">
        <v>2010</v>
      </c>
      <c r="C3" s="29">
        <v>2013</v>
      </c>
      <c r="D3" s="399">
        <v>2014</v>
      </c>
      <c r="E3" s="399">
        <v>2015</v>
      </c>
      <c r="F3" s="399">
        <v>2016</v>
      </c>
      <c r="G3" s="399">
        <v>2017</v>
      </c>
      <c r="H3" s="717">
        <v>2018</v>
      </c>
      <c r="I3" s="732">
        <v>2019</v>
      </c>
      <c r="J3" s="746">
        <v>2020</v>
      </c>
      <c r="K3" s="764">
        <v>2021</v>
      </c>
      <c r="L3" s="776">
        <v>2022</v>
      </c>
      <c r="M3" s="777"/>
    </row>
    <row r="4" spans="1:13" s="89" customFormat="1" ht="16.5" x14ac:dyDescent="0.3">
      <c r="A4" s="127"/>
      <c r="B4" s="47"/>
      <c r="C4" s="47"/>
      <c r="D4" s="398"/>
      <c r="E4" s="398"/>
      <c r="F4" s="398"/>
      <c r="G4" s="63"/>
      <c r="H4" s="63"/>
      <c r="I4" s="63"/>
      <c r="J4" s="63"/>
      <c r="K4" s="63"/>
      <c r="L4" s="63"/>
      <c r="M4" s="170"/>
    </row>
    <row r="5" spans="1:13" s="89" customFormat="1" ht="37.5" x14ac:dyDescent="0.45">
      <c r="A5" s="33"/>
      <c r="B5" s="483" t="s">
        <v>274</v>
      </c>
      <c r="C5" s="483" t="s">
        <v>274</v>
      </c>
      <c r="D5" s="484" t="s">
        <v>274</v>
      </c>
      <c r="E5" s="484" t="s">
        <v>274</v>
      </c>
      <c r="F5" s="484" t="s">
        <v>274</v>
      </c>
      <c r="G5" s="484" t="s">
        <v>274</v>
      </c>
      <c r="H5" s="484" t="s">
        <v>274</v>
      </c>
      <c r="I5" s="484" t="s">
        <v>274</v>
      </c>
      <c r="J5" s="484" t="s">
        <v>274</v>
      </c>
      <c r="K5" s="484" t="s">
        <v>274</v>
      </c>
      <c r="L5" s="485" t="s">
        <v>160</v>
      </c>
      <c r="M5" s="486" t="s">
        <v>161</v>
      </c>
    </row>
    <row r="6" spans="1:13" s="89" customFormat="1" ht="18.75" customHeight="1" x14ac:dyDescent="0.3">
      <c r="A6" s="34"/>
      <c r="B6" s="38"/>
      <c r="C6" s="38"/>
      <c r="D6" s="487"/>
      <c r="E6" s="487"/>
      <c r="F6" s="488"/>
      <c r="G6" s="489"/>
      <c r="H6" s="489"/>
      <c r="I6" s="489"/>
      <c r="J6" s="489"/>
      <c r="K6" s="489"/>
      <c r="L6" s="489"/>
      <c r="M6" s="490"/>
    </row>
    <row r="7" spans="1:13" s="89" customFormat="1" ht="18.75" customHeight="1" x14ac:dyDescent="0.3">
      <c r="A7" s="35"/>
      <c r="B7" s="38"/>
      <c r="C7" s="38"/>
      <c r="D7" s="487"/>
      <c r="E7" s="487"/>
      <c r="F7" s="488"/>
      <c r="G7" s="489"/>
      <c r="H7" s="489"/>
      <c r="I7" s="489"/>
      <c r="J7" s="489"/>
      <c r="K7" s="489"/>
      <c r="L7" s="489"/>
      <c r="M7" s="490"/>
    </row>
    <row r="8" spans="1:13" s="89" customFormat="1" ht="18.75" hidden="1" customHeight="1" x14ac:dyDescent="0.3">
      <c r="A8" s="34" t="s">
        <v>39</v>
      </c>
      <c r="B8" s="38">
        <v>90983.05</v>
      </c>
      <c r="C8" s="487">
        <f>75858.38+15124.67</f>
        <v>90983.05</v>
      </c>
      <c r="D8" s="487">
        <v>90982</v>
      </c>
      <c r="E8" s="487">
        <v>90982</v>
      </c>
      <c r="F8" s="488">
        <f>86940+4043</f>
        <v>90983</v>
      </c>
      <c r="G8" s="491"/>
      <c r="H8" s="491"/>
      <c r="I8" s="491"/>
      <c r="J8" s="491"/>
      <c r="K8" s="491"/>
      <c r="L8" s="491"/>
      <c r="M8" s="492"/>
    </row>
    <row r="9" spans="1:13" s="89" customFormat="1" ht="18.75" hidden="1" customHeight="1" x14ac:dyDescent="0.3">
      <c r="A9" s="65" t="s">
        <v>236</v>
      </c>
      <c r="B9" s="58">
        <v>40462.18</v>
      </c>
      <c r="C9" s="493">
        <f>24672.6+15244.87</f>
        <v>39917.47</v>
      </c>
      <c r="D9" s="58">
        <v>39917</v>
      </c>
      <c r="E9" s="58">
        <f>26307+13610</f>
        <v>39917</v>
      </c>
      <c r="F9" s="494">
        <f>27130+12787</f>
        <v>39917</v>
      </c>
      <c r="G9" s="495"/>
      <c r="H9" s="495"/>
      <c r="I9" s="495"/>
      <c r="J9" s="495"/>
      <c r="K9" s="495"/>
      <c r="L9" s="495"/>
      <c r="M9" s="496"/>
    </row>
    <row r="10" spans="1:13" ht="18.75" hidden="1" customHeight="1" x14ac:dyDescent="0.3">
      <c r="A10" s="34" t="s">
        <v>432</v>
      </c>
      <c r="B10" s="58"/>
      <c r="C10" s="493">
        <f>3979.9+340.1</f>
        <v>4320</v>
      </c>
      <c r="D10" s="493">
        <v>2521</v>
      </c>
      <c r="E10" s="782" t="s">
        <v>371</v>
      </c>
      <c r="F10" s="497"/>
      <c r="G10" s="497"/>
      <c r="H10" s="720" t="s">
        <v>371</v>
      </c>
      <c r="I10" s="733" t="s">
        <v>371</v>
      </c>
      <c r="J10" s="747" t="s">
        <v>371</v>
      </c>
      <c r="K10" s="765" t="s">
        <v>371</v>
      </c>
      <c r="L10" s="778" t="s">
        <v>371</v>
      </c>
      <c r="M10" s="779"/>
    </row>
    <row r="11" spans="1:13" ht="18.75" hidden="1" customHeight="1" x14ac:dyDescent="0.3">
      <c r="A11" s="34"/>
      <c r="B11" s="58"/>
      <c r="C11" s="493"/>
      <c r="D11" s="58"/>
      <c r="E11" s="783"/>
      <c r="F11" s="498"/>
      <c r="G11" s="499"/>
      <c r="H11" s="499"/>
      <c r="I11" s="499"/>
      <c r="J11" s="499"/>
      <c r="K11" s="499"/>
      <c r="L11" s="499"/>
      <c r="M11" s="500"/>
    </row>
    <row r="12" spans="1:13" ht="18.75" customHeight="1" x14ac:dyDescent="0.3">
      <c r="A12" s="34" t="s">
        <v>619</v>
      </c>
      <c r="B12" s="58"/>
      <c r="C12" s="493"/>
      <c r="D12" s="501">
        <f>(110000*2)+70000</f>
        <v>290000</v>
      </c>
      <c r="E12" s="501"/>
      <c r="F12" s="502">
        <v>775000</v>
      </c>
      <c r="G12" s="499">
        <v>695000</v>
      </c>
      <c r="H12" s="499">
        <v>0</v>
      </c>
      <c r="I12" s="499">
        <v>0</v>
      </c>
      <c r="J12" s="499">
        <f>120000</f>
        <v>120000</v>
      </c>
      <c r="K12" s="499">
        <f>1423026</f>
        <v>1423026</v>
      </c>
      <c r="L12" s="499">
        <v>0</v>
      </c>
      <c r="M12" s="500">
        <v>0</v>
      </c>
    </row>
    <row r="13" spans="1:13" ht="18.75" customHeight="1" thickBot="1" x14ac:dyDescent="0.35">
      <c r="A13" s="503"/>
      <c r="B13" s="504">
        <v>1800</v>
      </c>
      <c r="C13" s="505"/>
      <c r="D13" s="505"/>
      <c r="E13" s="505"/>
      <c r="F13" s="506"/>
      <c r="G13" s="507"/>
      <c r="H13" s="507"/>
      <c r="I13" s="507"/>
      <c r="J13" s="507"/>
      <c r="K13" s="507"/>
      <c r="L13" s="507"/>
      <c r="M13" s="508"/>
    </row>
    <row r="14" spans="1:13" s="89" customFormat="1" ht="17.25" thickTop="1" x14ac:dyDescent="0.3">
      <c r="A14" s="84" t="s">
        <v>84</v>
      </c>
      <c r="B14" s="85">
        <f>SUM(B6:B13)</f>
        <v>133245.23000000001</v>
      </c>
      <c r="C14" s="85">
        <f>SUM(C6:C13)</f>
        <v>135220.52000000002</v>
      </c>
      <c r="D14" s="85">
        <f>SUM(D6:D13)</f>
        <v>423420</v>
      </c>
      <c r="E14" s="509">
        <f>SUM(E6:E13)</f>
        <v>130899</v>
      </c>
      <c r="F14" s="510">
        <f>SUM(F8:F12)</f>
        <v>905900</v>
      </c>
      <c r="G14" s="511">
        <f t="shared" ref="G14:M14" si="0">SUM(G6:G13)</f>
        <v>695000</v>
      </c>
      <c r="H14" s="511">
        <f t="shared" si="0"/>
        <v>0</v>
      </c>
      <c r="I14" s="511">
        <f t="shared" si="0"/>
        <v>0</v>
      </c>
      <c r="J14" s="511">
        <f t="shared" si="0"/>
        <v>120000</v>
      </c>
      <c r="K14" s="511">
        <f t="shared" si="0"/>
        <v>1423026</v>
      </c>
      <c r="L14" s="511">
        <f t="shared" si="0"/>
        <v>0</v>
      </c>
      <c r="M14" s="512">
        <f t="shared" si="0"/>
        <v>0</v>
      </c>
    </row>
    <row r="15" spans="1:13" ht="32.25" customHeight="1" x14ac:dyDescent="0.3">
      <c r="A15" s="93"/>
      <c r="F15" s="482"/>
      <c r="G15" s="482"/>
      <c r="H15" s="718"/>
      <c r="I15" s="734"/>
      <c r="J15" s="751"/>
      <c r="K15" s="762"/>
      <c r="L15" s="780" t="s">
        <v>312</v>
      </c>
      <c r="M15" s="780"/>
    </row>
    <row r="16" spans="1:13" ht="18.75" customHeight="1" x14ac:dyDescent="0.25">
      <c r="F16" s="482"/>
      <c r="G16" s="482"/>
      <c r="H16" s="719"/>
      <c r="I16" s="735"/>
      <c r="K16" s="763"/>
      <c r="L16" s="781">
        <f>L14+M14</f>
        <v>0</v>
      </c>
      <c r="M16" s="781"/>
    </row>
    <row r="17" spans="1:1" ht="18.75" hidden="1" customHeight="1" x14ac:dyDescent="0.25">
      <c r="A17" s="86" t="s">
        <v>495</v>
      </c>
    </row>
    <row r="18" spans="1:1" ht="18.75" hidden="1" customHeight="1" x14ac:dyDescent="0.25">
      <c r="A18" s="86" t="s">
        <v>496</v>
      </c>
    </row>
    <row r="19" spans="1:1" ht="18.75" hidden="1" customHeight="1" x14ac:dyDescent="0.25">
      <c r="A19" s="91" t="s">
        <v>469</v>
      </c>
    </row>
    <row r="20" spans="1:1" ht="18.75" customHeight="1" x14ac:dyDescent="0.25">
      <c r="A20" s="91"/>
    </row>
    <row r="21" spans="1:1" ht="18.75" customHeight="1" x14ac:dyDescent="0.25">
      <c r="A21" s="91"/>
    </row>
  </sheetData>
  <sortState ref="A14:H15">
    <sortCondition descending="1" ref="A14:A15"/>
  </sortState>
  <mergeCells count="5">
    <mergeCell ref="L3:M3"/>
    <mergeCell ref="L10:M10"/>
    <mergeCell ref="L15:M15"/>
    <mergeCell ref="L16:M16"/>
    <mergeCell ref="E10:E11"/>
  </mergeCells>
  <phoneticPr fontId="18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22" style="93" bestFit="1" customWidth="1"/>
    <col min="2" max="8" width="12.28515625" style="24" hidden="1" customWidth="1"/>
    <col min="9" max="16384" width="9.140625" style="24"/>
  </cols>
  <sheetData>
    <row r="1" spans="1:10" s="42" customFormat="1" ht="18" customHeight="1" x14ac:dyDescent="0.3">
      <c r="A1" s="407" t="s">
        <v>396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18" customHeight="1" x14ac:dyDescent="0.3">
      <c r="A2" s="122"/>
      <c r="B2" s="94"/>
      <c r="C2" s="94"/>
      <c r="D2" s="94"/>
      <c r="E2" s="94"/>
      <c r="F2" s="94"/>
      <c r="G2" s="94"/>
      <c r="H2" s="94"/>
      <c r="I2" s="94"/>
      <c r="J2" s="94"/>
    </row>
    <row r="3" spans="1:10" s="42" customFormat="1" ht="18" customHeight="1" x14ac:dyDescent="0.3">
      <c r="A3" s="33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</row>
    <row r="4" spans="1:10" s="119" customFormat="1" ht="18" customHeight="1" x14ac:dyDescent="0.3">
      <c r="A4" s="127"/>
      <c r="B4" s="97"/>
      <c r="C4" s="97"/>
      <c r="D4" s="97"/>
      <c r="E4" s="97"/>
      <c r="F4" s="513"/>
      <c r="G4" s="513"/>
      <c r="H4" s="513"/>
      <c r="I4" s="513"/>
      <c r="J4" s="513"/>
    </row>
    <row r="5" spans="1:10" s="42" customFormat="1" ht="18" customHeight="1" x14ac:dyDescent="0.3">
      <c r="A5" s="33"/>
      <c r="B5" s="37"/>
      <c r="C5" s="37"/>
      <c r="D5" s="37"/>
      <c r="E5" s="37"/>
      <c r="F5" s="514"/>
      <c r="G5" s="514"/>
      <c r="H5" s="514"/>
      <c r="I5" s="514"/>
      <c r="J5" s="514"/>
    </row>
    <row r="6" spans="1:10" ht="18" customHeight="1" x14ac:dyDescent="0.3">
      <c r="A6" s="35" t="s">
        <v>171</v>
      </c>
      <c r="B6" s="38">
        <v>4500</v>
      </c>
      <c r="C6" s="38">
        <v>3200</v>
      </c>
      <c r="D6" s="38">
        <v>3200</v>
      </c>
      <c r="E6" s="38">
        <f>100*12</f>
        <v>1200</v>
      </c>
      <c r="F6" s="477">
        <f>105*12</f>
        <v>1260</v>
      </c>
      <c r="G6" s="477">
        <f>105*12</f>
        <v>1260</v>
      </c>
      <c r="H6" s="477">
        <f>10*12*9</f>
        <v>1080</v>
      </c>
      <c r="I6" s="477">
        <f>(12*1*8.5)+(12*3*4)</f>
        <v>246</v>
      </c>
      <c r="J6" s="477">
        <v>0</v>
      </c>
    </row>
    <row r="7" spans="1:10" ht="18" customHeight="1" x14ac:dyDescent="0.3">
      <c r="A7" s="706" t="s">
        <v>498</v>
      </c>
      <c r="B7" s="38"/>
      <c r="C7" s="38"/>
      <c r="D7" s="38"/>
      <c r="E7" s="38"/>
      <c r="F7" s="477"/>
      <c r="G7" s="476"/>
      <c r="H7" s="476">
        <f>13*50</f>
        <v>650</v>
      </c>
      <c r="I7" s="476">
        <f>50*12</f>
        <v>600</v>
      </c>
      <c r="J7" s="476">
        <v>0</v>
      </c>
    </row>
    <row r="8" spans="1:10" ht="18" customHeight="1" x14ac:dyDescent="0.3">
      <c r="A8" s="344"/>
      <c r="B8" s="332"/>
      <c r="C8" s="332"/>
      <c r="D8" s="332"/>
      <c r="E8" s="332"/>
      <c r="F8" s="515"/>
      <c r="G8" s="516"/>
      <c r="H8" s="516"/>
      <c r="I8" s="516"/>
      <c r="J8" s="516"/>
    </row>
    <row r="9" spans="1:10" ht="18" customHeight="1" x14ac:dyDescent="0.3">
      <c r="A9" s="344"/>
      <c r="B9" s="332"/>
      <c r="C9" s="332"/>
      <c r="D9" s="332"/>
      <c r="E9" s="332"/>
      <c r="F9" s="515"/>
      <c r="G9" s="516"/>
      <c r="H9" s="516"/>
      <c r="I9" s="516"/>
      <c r="J9" s="516"/>
    </row>
    <row r="10" spans="1:10" ht="18" customHeight="1" thickBot="1" x14ac:dyDescent="0.35">
      <c r="A10" s="344"/>
      <c r="B10" s="332">
        <v>-556.55999999999995</v>
      </c>
      <c r="C10" s="332"/>
      <c r="D10" s="332"/>
      <c r="E10" s="332"/>
      <c r="F10" s="515"/>
      <c r="G10" s="516"/>
      <c r="H10" s="516"/>
      <c r="I10" s="516"/>
      <c r="J10" s="516"/>
    </row>
    <row r="11" spans="1:10" ht="18" customHeight="1" thickTop="1" x14ac:dyDescent="0.3">
      <c r="A11" s="84" t="s">
        <v>84</v>
      </c>
      <c r="B11" s="40">
        <f t="shared" ref="B11:J11" si="0">SUM(B4:B10)</f>
        <v>3943.44</v>
      </c>
      <c r="C11" s="40">
        <f t="shared" si="0"/>
        <v>3200</v>
      </c>
      <c r="D11" s="40">
        <f t="shared" si="0"/>
        <v>3200</v>
      </c>
      <c r="E11" s="40">
        <f t="shared" si="0"/>
        <v>1200</v>
      </c>
      <c r="F11" s="480">
        <f t="shared" si="0"/>
        <v>1260</v>
      </c>
      <c r="G11" s="481">
        <f t="shared" si="0"/>
        <v>1260</v>
      </c>
      <c r="H11" s="481">
        <f t="shared" si="0"/>
        <v>1730</v>
      </c>
      <c r="I11" s="481">
        <f t="shared" si="0"/>
        <v>846</v>
      </c>
      <c r="J11" s="481">
        <f t="shared" si="0"/>
        <v>0</v>
      </c>
    </row>
    <row r="12" spans="1:10" ht="18.75" customHeight="1" x14ac:dyDescent="0.3">
      <c r="B12" s="125"/>
    </row>
    <row r="13" spans="1:10" ht="18.75" customHeight="1" x14ac:dyDescent="0.3">
      <c r="A13" s="16" t="s">
        <v>622</v>
      </c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45.5703125" style="93" bestFit="1" customWidth="1"/>
    <col min="2" max="8" width="12.28515625" style="24" hidden="1" customWidth="1"/>
    <col min="9" max="9" width="9.5703125" style="24" hidden="1" customWidth="1"/>
    <col min="10" max="11" width="9.5703125" style="24" bestFit="1" customWidth="1"/>
    <col min="12" max="16384" width="9.140625" style="24"/>
  </cols>
  <sheetData>
    <row r="1" spans="1:12" s="42" customFormat="1" ht="18.75" customHeight="1" x14ac:dyDescent="0.3">
      <c r="A1" s="407" t="s">
        <v>395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1.25" customHeight="1" x14ac:dyDescent="0.3">
      <c r="A2" s="122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42" customFormat="1" ht="18.75" customHeight="1" x14ac:dyDescent="0.3">
      <c r="A3" s="33" t="s">
        <v>86</v>
      </c>
      <c r="B3" s="37">
        <v>2010</v>
      </c>
      <c r="C3" s="37">
        <v>2013</v>
      </c>
      <c r="D3" s="37">
        <v>2014</v>
      </c>
      <c r="E3" s="37">
        <v>2015</v>
      </c>
      <c r="F3" s="37">
        <v>2016</v>
      </c>
      <c r="G3" s="37">
        <v>2017</v>
      </c>
      <c r="H3" s="37">
        <v>2018</v>
      </c>
      <c r="I3" s="37">
        <v>2019</v>
      </c>
      <c r="J3" s="37">
        <v>2020</v>
      </c>
      <c r="K3" s="37">
        <v>2021</v>
      </c>
      <c r="L3" s="37">
        <v>2022</v>
      </c>
    </row>
    <row r="4" spans="1:12" s="119" customFormat="1" ht="18.75" customHeight="1" x14ac:dyDescent="0.3">
      <c r="A4" s="167"/>
      <c r="B4" s="113"/>
      <c r="C4" s="113"/>
      <c r="D4" s="113"/>
      <c r="E4" s="113"/>
      <c r="F4" s="517"/>
      <c r="G4" s="517"/>
      <c r="H4" s="517"/>
      <c r="I4" s="517"/>
      <c r="J4" s="517"/>
      <c r="K4" s="517"/>
      <c r="L4" s="517"/>
    </row>
    <row r="5" spans="1:12" s="119" customFormat="1" ht="16.5" x14ac:dyDescent="0.3">
      <c r="A5" s="35" t="s">
        <v>42</v>
      </c>
      <c r="B5" s="38">
        <v>1000</v>
      </c>
      <c r="C5" s="38">
        <v>1500</v>
      </c>
      <c r="D5" s="38">
        <v>1500</v>
      </c>
      <c r="E5" s="38">
        <v>2000</v>
      </c>
      <c r="F5" s="477">
        <v>2000</v>
      </c>
      <c r="G5" s="477">
        <v>3000</v>
      </c>
      <c r="H5" s="477">
        <v>3000</v>
      </c>
      <c r="I5" s="477">
        <v>3000</v>
      </c>
      <c r="J5" s="477">
        <v>3000</v>
      </c>
      <c r="K5" s="477">
        <v>3000</v>
      </c>
      <c r="L5" s="477">
        <v>3000</v>
      </c>
    </row>
    <row r="6" spans="1:12" s="119" customFormat="1" ht="19.5" customHeight="1" x14ac:dyDescent="0.3">
      <c r="A6" s="674" t="s">
        <v>681</v>
      </c>
      <c r="B6" s="38">
        <v>13400</v>
      </c>
      <c r="C6" s="38">
        <v>13672.8</v>
      </c>
      <c r="D6" s="38">
        <f>45*25.32*12</f>
        <v>13672.800000000001</v>
      </c>
      <c r="E6" s="38">
        <f>47*25.32*12</f>
        <v>14280.48</v>
      </c>
      <c r="F6" s="476">
        <f>55*25.32*12</f>
        <v>16711.199999999997</v>
      </c>
      <c r="G6" s="476">
        <f>75*23.37*12</f>
        <v>21033</v>
      </c>
      <c r="H6" s="476">
        <f>28.08*85*12</f>
        <v>28641.599999999999</v>
      </c>
      <c r="I6" s="476">
        <f>25.51*90*12</f>
        <v>27550.800000000003</v>
      </c>
      <c r="J6" s="476">
        <f>29.61*90*12</f>
        <v>31978.800000000003</v>
      </c>
      <c r="K6" s="476">
        <f>29.61*90*12</f>
        <v>31978.800000000003</v>
      </c>
      <c r="L6" s="476">
        <f>30.84*90*12</f>
        <v>33307.199999999997</v>
      </c>
    </row>
    <row r="7" spans="1:12" s="119" customFormat="1" ht="18.75" customHeight="1" x14ac:dyDescent="0.3">
      <c r="A7" s="35" t="s">
        <v>43</v>
      </c>
      <c r="B7" s="38">
        <v>10500</v>
      </c>
      <c r="C7" s="38">
        <v>13200</v>
      </c>
      <c r="D7" s="38">
        <f>24*600</f>
        <v>14400</v>
      </c>
      <c r="E7" s="38">
        <f>24*700</f>
        <v>16800</v>
      </c>
      <c r="F7" s="476">
        <f>24*700</f>
        <v>16800</v>
      </c>
      <c r="G7" s="476">
        <f>26.4*750</f>
        <v>19800</v>
      </c>
      <c r="H7" s="476">
        <f>26.4*775</f>
        <v>20460</v>
      </c>
      <c r="I7" s="476">
        <f>26.4*775</f>
        <v>20460</v>
      </c>
      <c r="J7" s="476">
        <f>26.4*780</f>
        <v>20592</v>
      </c>
      <c r="K7" s="476">
        <f>26.4*650</f>
        <v>17160</v>
      </c>
      <c r="L7" s="476">
        <f>29.04*575</f>
        <v>16698</v>
      </c>
    </row>
    <row r="8" spans="1:12" s="119" customFormat="1" ht="18.75" customHeight="1" x14ac:dyDescent="0.3">
      <c r="A8" s="35" t="s">
        <v>43</v>
      </c>
      <c r="B8" s="38">
        <v>10500</v>
      </c>
      <c r="C8" s="38">
        <v>13200</v>
      </c>
      <c r="D8" s="38">
        <f>24*600</f>
        <v>14400</v>
      </c>
      <c r="E8" s="38">
        <f>24*700</f>
        <v>16800</v>
      </c>
      <c r="F8" s="476">
        <f>24*700</f>
        <v>16800</v>
      </c>
      <c r="G8" s="476">
        <f>26.4*750</f>
        <v>19800</v>
      </c>
      <c r="H8" s="476">
        <f>26.4*775</f>
        <v>20460</v>
      </c>
      <c r="I8" s="476">
        <f>26.4*775</f>
        <v>20460</v>
      </c>
      <c r="J8" s="476">
        <f>26.4*780</f>
        <v>20592</v>
      </c>
      <c r="K8" s="476">
        <f>26.4*650</f>
        <v>17160</v>
      </c>
      <c r="L8" s="476">
        <f>29.04*575</f>
        <v>16698</v>
      </c>
    </row>
    <row r="9" spans="1:12" s="119" customFormat="1" ht="18.75" customHeight="1" x14ac:dyDescent="0.3">
      <c r="A9" s="35" t="s">
        <v>565</v>
      </c>
      <c r="B9" s="58">
        <v>4200</v>
      </c>
      <c r="C9" s="58">
        <v>4800</v>
      </c>
      <c r="D9" s="58">
        <f>50*11*12</f>
        <v>6600</v>
      </c>
      <c r="E9" s="156">
        <f>50*12*12</f>
        <v>7200</v>
      </c>
      <c r="F9" s="467">
        <f>55*12*12</f>
        <v>7920</v>
      </c>
      <c r="G9" s="467">
        <f>55*12*12</f>
        <v>7920</v>
      </c>
      <c r="H9" s="467">
        <f>40*13*12</f>
        <v>6240</v>
      </c>
      <c r="I9" s="467">
        <f>40*14*12</f>
        <v>6720</v>
      </c>
      <c r="J9" s="467">
        <f>40*14*12</f>
        <v>6720</v>
      </c>
      <c r="K9" s="467">
        <f>40*11*12</f>
        <v>5280</v>
      </c>
      <c r="L9" s="467">
        <f>40*12*12</f>
        <v>5760</v>
      </c>
    </row>
    <row r="10" spans="1:12" s="119" customFormat="1" ht="18.75" customHeight="1" x14ac:dyDescent="0.3">
      <c r="A10" s="35" t="s">
        <v>44</v>
      </c>
      <c r="B10" s="58">
        <v>1200</v>
      </c>
      <c r="C10" s="58">
        <v>2200</v>
      </c>
      <c r="D10" s="58">
        <f>11*400</f>
        <v>4400</v>
      </c>
      <c r="E10" s="156">
        <f>12*400</f>
        <v>4800</v>
      </c>
      <c r="F10" s="467">
        <f>400*12</f>
        <v>4800</v>
      </c>
      <c r="G10" s="467">
        <f>500*12</f>
        <v>6000</v>
      </c>
      <c r="H10" s="467">
        <f>500*13</f>
        <v>6500</v>
      </c>
      <c r="I10" s="467">
        <f>500*14</f>
        <v>7000</v>
      </c>
      <c r="J10" s="467">
        <f>500*14</f>
        <v>7000</v>
      </c>
      <c r="K10" s="467">
        <f>500*14</f>
        <v>7000</v>
      </c>
      <c r="L10" s="467">
        <f>500*14</f>
        <v>7000</v>
      </c>
    </row>
    <row r="11" spans="1:12" s="119" customFormat="1" ht="18.75" hidden="1" customHeight="1" x14ac:dyDescent="0.3">
      <c r="A11" s="43" t="s">
        <v>487</v>
      </c>
      <c r="B11" s="103">
        <v>3000</v>
      </c>
      <c r="C11" s="103">
        <v>0</v>
      </c>
      <c r="D11" s="103">
        <v>0</v>
      </c>
      <c r="E11" s="639">
        <v>7000</v>
      </c>
      <c r="F11" s="640">
        <f>7200*7</f>
        <v>50400</v>
      </c>
      <c r="G11" s="640">
        <f>8500*9</f>
        <v>76500</v>
      </c>
      <c r="H11" s="640">
        <f>8500*5</f>
        <v>42500</v>
      </c>
      <c r="I11" s="640">
        <v>0</v>
      </c>
      <c r="J11" s="640"/>
      <c r="K11" s="640"/>
      <c r="L11" s="640"/>
    </row>
    <row r="12" spans="1:12" s="42" customFormat="1" ht="18.75" hidden="1" customHeight="1" x14ac:dyDescent="0.3">
      <c r="A12" s="43" t="s">
        <v>342</v>
      </c>
      <c r="B12" s="58">
        <v>10000</v>
      </c>
      <c r="C12" s="58">
        <v>2000</v>
      </c>
      <c r="D12" s="58">
        <v>4000</v>
      </c>
      <c r="E12" s="156">
        <v>5000</v>
      </c>
      <c r="F12" s="467"/>
      <c r="G12" s="467"/>
      <c r="H12" s="467"/>
      <c r="I12" s="467"/>
      <c r="J12" s="467"/>
      <c r="K12" s="467"/>
      <c r="L12" s="467"/>
    </row>
    <row r="13" spans="1:12" s="42" customFormat="1" ht="18.75" customHeight="1" x14ac:dyDescent="0.3">
      <c r="A13" s="43" t="s">
        <v>317</v>
      </c>
      <c r="B13" s="58"/>
      <c r="C13" s="58">
        <v>1000</v>
      </c>
      <c r="D13" s="58">
        <v>1000</v>
      </c>
      <c r="E13" s="58">
        <f>600*2</f>
        <v>1200</v>
      </c>
      <c r="F13" s="467">
        <f>600*2</f>
        <v>1200</v>
      </c>
      <c r="G13" s="467">
        <f>800*2</f>
        <v>1600</v>
      </c>
      <c r="H13" s="467">
        <f>800*2</f>
        <v>1600</v>
      </c>
      <c r="I13" s="467">
        <f>800*2</f>
        <v>1600</v>
      </c>
      <c r="J13" s="467">
        <f>(500*2)+(500*2)</f>
        <v>2000</v>
      </c>
      <c r="K13" s="467">
        <f>(500*2)+(500*2)</f>
        <v>2000</v>
      </c>
      <c r="L13" s="467">
        <f>(500*2)+(500*2)</f>
        <v>2000</v>
      </c>
    </row>
    <row r="14" spans="1:12" s="42" customFormat="1" ht="18.75" customHeight="1" x14ac:dyDescent="0.3">
      <c r="A14" s="43" t="s">
        <v>497</v>
      </c>
      <c r="B14" s="58"/>
      <c r="C14" s="58">
        <v>20000</v>
      </c>
      <c r="D14" s="58">
        <v>26000</v>
      </c>
      <c r="E14" s="58">
        <f>6000</f>
        <v>6000</v>
      </c>
      <c r="F14" s="466">
        <v>12000</v>
      </c>
      <c r="G14" s="466">
        <v>12000</v>
      </c>
      <c r="H14" s="466">
        <f>3500*2</f>
        <v>7000</v>
      </c>
      <c r="I14" s="466">
        <f>3000*4</f>
        <v>12000</v>
      </c>
      <c r="J14" s="466">
        <f>3000*4</f>
        <v>12000</v>
      </c>
      <c r="K14" s="466">
        <f>3000*3</f>
        <v>9000</v>
      </c>
      <c r="L14" s="466">
        <f>3000*3</f>
        <v>9000</v>
      </c>
    </row>
    <row r="15" spans="1:12" s="42" customFormat="1" ht="18.75" hidden="1" customHeight="1" x14ac:dyDescent="0.3">
      <c r="A15" s="43" t="s">
        <v>441</v>
      </c>
      <c r="B15" s="58"/>
      <c r="C15" s="58"/>
      <c r="D15" s="58"/>
      <c r="E15" s="58"/>
      <c r="F15" s="466">
        <f>23*400</f>
        <v>9200</v>
      </c>
      <c r="G15" s="467"/>
      <c r="H15" s="467"/>
      <c r="I15" s="467"/>
      <c r="J15" s="467"/>
      <c r="K15" s="467"/>
      <c r="L15" s="467"/>
    </row>
    <row r="16" spans="1:12" s="42" customFormat="1" ht="18.75" hidden="1" customHeight="1" x14ac:dyDescent="0.3">
      <c r="A16" s="43" t="s">
        <v>503</v>
      </c>
      <c r="B16" s="58"/>
      <c r="C16" s="58"/>
      <c r="D16" s="58"/>
      <c r="E16" s="58"/>
      <c r="F16" s="466"/>
      <c r="G16" s="467">
        <f>6900*2</f>
        <v>13800</v>
      </c>
      <c r="H16" s="467">
        <f>8400*8</f>
        <v>67200</v>
      </c>
      <c r="I16" s="467">
        <v>0</v>
      </c>
      <c r="J16" s="467"/>
      <c r="K16" s="467"/>
      <c r="L16" s="467"/>
    </row>
    <row r="17" spans="1:12" s="42" customFormat="1" ht="18.75" customHeight="1" x14ac:dyDescent="0.3">
      <c r="A17" s="43" t="s">
        <v>600</v>
      </c>
      <c r="B17" s="58"/>
      <c r="C17" s="58"/>
      <c r="D17" s="58"/>
      <c r="E17" s="58"/>
      <c r="F17" s="466"/>
      <c r="G17" s="467"/>
      <c r="H17" s="467"/>
      <c r="I17" s="467"/>
      <c r="J17" s="467">
        <f>(78.92*40)+(118.36*2)+(39.44*4)</f>
        <v>3551.2799999999997</v>
      </c>
      <c r="K17" s="467">
        <f>(78.92*30)+(118.36*2)+(39.44*4)</f>
        <v>2762.08</v>
      </c>
      <c r="L17" s="467">
        <f>(78.92*30)+(118.36*2)+(39.44*4)</f>
        <v>2762.08</v>
      </c>
    </row>
    <row r="18" spans="1:12" s="42" customFormat="1" ht="18.75" customHeight="1" x14ac:dyDescent="0.3">
      <c r="A18" s="43" t="s">
        <v>620</v>
      </c>
      <c r="B18" s="58"/>
      <c r="C18" s="58"/>
      <c r="D18" s="58"/>
      <c r="E18" s="58"/>
      <c r="F18" s="466"/>
      <c r="G18" s="467"/>
      <c r="H18" s="477">
        <f>10*12*9</f>
        <v>1080</v>
      </c>
      <c r="I18" s="477">
        <f>(12*1*8.5)+(12*3*4)</f>
        <v>246</v>
      </c>
      <c r="J18" s="477">
        <f>(12*1*8.5)+(12*3*4)</f>
        <v>246</v>
      </c>
      <c r="K18" s="477">
        <f>(12*1*8.5)+(12*3*4)</f>
        <v>246</v>
      </c>
      <c r="L18" s="477">
        <f>(12*1*8.5)+(12*3*4)</f>
        <v>246</v>
      </c>
    </row>
    <row r="19" spans="1:12" s="42" customFormat="1" ht="18.75" customHeight="1" x14ac:dyDescent="0.3">
      <c r="A19" s="43" t="s">
        <v>621</v>
      </c>
      <c r="B19" s="58"/>
      <c r="C19" s="58"/>
      <c r="D19" s="58"/>
      <c r="E19" s="58"/>
      <c r="F19" s="466"/>
      <c r="G19" s="467"/>
      <c r="H19" s="476">
        <f>50*13</f>
        <v>650</v>
      </c>
      <c r="I19" s="476">
        <f>50*12</f>
        <v>600</v>
      </c>
      <c r="J19" s="476">
        <f>45*12</f>
        <v>540</v>
      </c>
      <c r="K19" s="476">
        <f>45*12</f>
        <v>540</v>
      </c>
      <c r="L19" s="476">
        <f>42*12</f>
        <v>504</v>
      </c>
    </row>
    <row r="20" spans="1:12" s="42" customFormat="1" ht="18.75" customHeight="1" x14ac:dyDescent="0.3">
      <c r="A20" s="43"/>
      <c r="B20" s="58"/>
      <c r="C20" s="58"/>
      <c r="D20" s="58"/>
      <c r="E20" s="58"/>
      <c r="F20" s="466"/>
      <c r="G20" s="467"/>
      <c r="H20" s="476"/>
      <c r="I20" s="476"/>
      <c r="J20" s="476"/>
      <c r="K20" s="476"/>
      <c r="L20" s="476"/>
    </row>
    <row r="21" spans="1:12" s="42" customFormat="1" ht="18.75" customHeight="1" thickBot="1" x14ac:dyDescent="0.35">
      <c r="A21" s="43"/>
      <c r="B21" s="58"/>
      <c r="C21" s="58"/>
      <c r="D21" s="58"/>
      <c r="E21" s="58"/>
      <c r="F21" s="466"/>
      <c r="G21" s="467"/>
      <c r="H21" s="467"/>
      <c r="I21" s="467"/>
      <c r="J21" s="467"/>
      <c r="K21" s="467"/>
      <c r="L21" s="467"/>
    </row>
    <row r="22" spans="1:12" s="42" customFormat="1" ht="18.75" customHeight="1" thickTop="1" x14ac:dyDescent="0.3">
      <c r="A22" s="84" t="s">
        <v>84</v>
      </c>
      <c r="B22" s="85">
        <f t="shared" ref="B22:G22" si="0">SUM(B4:B21)</f>
        <v>53800</v>
      </c>
      <c r="C22" s="85">
        <f t="shared" si="0"/>
        <v>71572.800000000003</v>
      </c>
      <c r="D22" s="85">
        <f t="shared" si="0"/>
        <v>85972.800000000003</v>
      </c>
      <c r="E22" s="85">
        <f t="shared" si="0"/>
        <v>81080.479999999996</v>
      </c>
      <c r="F22" s="561">
        <f t="shared" si="0"/>
        <v>137831.20000000001</v>
      </c>
      <c r="G22" s="675">
        <f t="shared" si="0"/>
        <v>181453</v>
      </c>
      <c r="H22" s="675">
        <f>SUM(H4:H21)-H18</f>
        <v>204251.6</v>
      </c>
      <c r="I22" s="675">
        <f>SUM(I4:I21)-I18</f>
        <v>99390.8</v>
      </c>
      <c r="J22" s="675">
        <f>SUM(J4:J21)</f>
        <v>108220.08</v>
      </c>
      <c r="K22" s="675">
        <f>SUM(K4:K21)</f>
        <v>96126.88</v>
      </c>
      <c r="L22" s="675">
        <f>SUM(L4:L21)</f>
        <v>96975.28</v>
      </c>
    </row>
    <row r="23" spans="1:12" s="42" customFormat="1" ht="16.5" x14ac:dyDescent="0.3">
      <c r="A23" s="16"/>
    </row>
    <row r="24" spans="1:12" ht="12.95" customHeight="1" x14ac:dyDescent="0.3">
      <c r="A24" s="16"/>
    </row>
    <row r="25" spans="1:12" ht="12.95" hidden="1" customHeight="1" x14ac:dyDescent="0.3">
      <c r="A25" s="725" t="s">
        <v>490</v>
      </c>
    </row>
    <row r="26" spans="1:12" ht="12.95" customHeight="1" x14ac:dyDescent="0.3">
      <c r="A26" s="16"/>
    </row>
    <row r="27" spans="1:12" ht="12.95" customHeight="1" x14ac:dyDescent="0.3">
      <c r="A27" s="16"/>
    </row>
    <row r="28" spans="1:12" s="42" customFormat="1" ht="12.95" customHeight="1" x14ac:dyDescent="0.3">
      <c r="A28" s="16"/>
    </row>
    <row r="29" spans="1:12" ht="12.95" customHeight="1" x14ac:dyDescent="0.3">
      <c r="A29" s="16"/>
    </row>
    <row r="30" spans="1:12" ht="12.95" customHeight="1" x14ac:dyDescent="0.3">
      <c r="A30" s="16"/>
    </row>
    <row r="31" spans="1:12" ht="12.95" customHeight="1" x14ac:dyDescent="0.3">
      <c r="A31" s="16"/>
    </row>
    <row r="32" spans="1:12" ht="12.95" customHeight="1" x14ac:dyDescent="0.3">
      <c r="A32" s="24"/>
    </row>
    <row r="33" spans="1:2" ht="12.95" customHeight="1" x14ac:dyDescent="0.3">
      <c r="A33" s="24"/>
      <c r="B33" s="36"/>
    </row>
    <row r="34" spans="1:2" ht="12.95" customHeight="1" x14ac:dyDescent="0.3">
      <c r="A34" s="24"/>
      <c r="B34" s="36"/>
    </row>
    <row r="35" spans="1:2" ht="12.95" customHeight="1" x14ac:dyDescent="0.3">
      <c r="A35" s="24"/>
      <c r="B35" s="36"/>
    </row>
    <row r="36" spans="1:2" ht="18.75" customHeight="1" x14ac:dyDescent="0.3">
      <c r="A36" s="16"/>
    </row>
    <row r="37" spans="1:2" ht="18.75" customHeight="1" x14ac:dyDescent="0.3">
      <c r="A37" s="16"/>
    </row>
  </sheetData>
  <phoneticPr fontId="18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/>
  </sheetViews>
  <sheetFormatPr defaultColWidth="9.140625" defaultRowHeight="16.5" x14ac:dyDescent="0.3"/>
  <cols>
    <col min="1" max="1" width="22" style="107" customWidth="1"/>
    <col min="2" max="4" width="11.7109375" style="107" hidden="1" customWidth="1"/>
    <col min="5" max="8" width="12" style="107" hidden="1" customWidth="1"/>
    <col min="9" max="9" width="0" style="107" hidden="1" customWidth="1"/>
    <col min="10" max="16384" width="9.140625" style="107"/>
  </cols>
  <sheetData>
    <row r="1" spans="1:12" ht="22.5" customHeight="1" x14ac:dyDescent="0.3">
      <c r="A1" s="407" t="s">
        <v>394</v>
      </c>
      <c r="B1" s="149"/>
      <c r="C1" s="149"/>
      <c r="D1" s="149"/>
      <c r="E1" s="165"/>
      <c r="F1" s="165"/>
      <c r="G1" s="165"/>
      <c r="H1" s="165"/>
      <c r="I1" s="165"/>
      <c r="J1" s="165"/>
      <c r="K1" s="165"/>
      <c r="L1" s="165"/>
    </row>
    <row r="2" spans="1:12" x14ac:dyDescent="0.3">
      <c r="A2" s="122"/>
      <c r="B2" s="94"/>
      <c r="C2" s="94"/>
      <c r="D2" s="94"/>
      <c r="E2" s="45"/>
      <c r="F2" s="45"/>
      <c r="G2" s="45"/>
      <c r="H2" s="45"/>
      <c r="I2" s="45"/>
      <c r="J2" s="45"/>
      <c r="K2" s="45"/>
      <c r="L2" s="45"/>
    </row>
    <row r="3" spans="1:12" x14ac:dyDescent="0.3">
      <c r="A3" s="33" t="s">
        <v>86</v>
      </c>
      <c r="B3" s="37">
        <v>2010</v>
      </c>
      <c r="C3" s="95">
        <v>2013</v>
      </c>
      <c r="D3" s="95">
        <v>2014</v>
      </c>
      <c r="E3" s="95">
        <v>2015</v>
      </c>
      <c r="F3" s="95">
        <v>2016</v>
      </c>
      <c r="G3" s="95">
        <v>2017</v>
      </c>
      <c r="H3" s="95">
        <v>2018</v>
      </c>
      <c r="I3" s="95">
        <v>2019</v>
      </c>
      <c r="J3" s="95">
        <v>2020</v>
      </c>
      <c r="K3" s="95">
        <v>2021</v>
      </c>
      <c r="L3" s="95">
        <v>2022</v>
      </c>
    </row>
    <row r="4" spans="1:12" x14ac:dyDescent="0.3">
      <c r="A4" s="127"/>
      <c r="B4" s="97"/>
      <c r="C4" s="95"/>
      <c r="D4" s="95"/>
      <c r="E4" s="95"/>
      <c r="F4" s="520"/>
      <c r="G4" s="520"/>
      <c r="H4" s="520"/>
      <c r="I4" s="520"/>
      <c r="J4" s="520"/>
      <c r="K4" s="520"/>
      <c r="L4" s="520"/>
    </row>
    <row r="5" spans="1:12" x14ac:dyDescent="0.3">
      <c r="A5" s="121"/>
      <c r="B5" s="94"/>
      <c r="C5" s="115"/>
      <c r="D5" s="115"/>
      <c r="E5" s="115"/>
      <c r="F5" s="521"/>
      <c r="G5" s="521"/>
      <c r="H5" s="521"/>
      <c r="I5" s="521"/>
      <c r="J5" s="521"/>
      <c r="K5" s="521"/>
      <c r="L5" s="521"/>
    </row>
    <row r="6" spans="1:12" x14ac:dyDescent="0.3">
      <c r="A6" s="35" t="s">
        <v>111</v>
      </c>
      <c r="B6" s="38">
        <v>40000</v>
      </c>
      <c r="C6" s="45">
        <v>40000</v>
      </c>
      <c r="D6" s="402">
        <v>40000</v>
      </c>
      <c r="E6" s="402">
        <v>30000</v>
      </c>
      <c r="F6" s="522">
        <v>30000</v>
      </c>
      <c r="G6" s="522">
        <v>30000</v>
      </c>
      <c r="H6" s="522">
        <v>30000</v>
      </c>
      <c r="I6" s="522">
        <f>14500*2</f>
        <v>29000</v>
      </c>
      <c r="J6" s="522">
        <f>14500*2</f>
        <v>29000</v>
      </c>
      <c r="K6" s="522">
        <f>13000*2</f>
        <v>26000</v>
      </c>
      <c r="L6" s="522">
        <f>10000*2</f>
        <v>20000</v>
      </c>
    </row>
    <row r="7" spans="1:12" x14ac:dyDescent="0.3">
      <c r="A7" s="35"/>
      <c r="B7" s="38"/>
      <c r="C7" s="115"/>
      <c r="D7" s="115"/>
      <c r="E7" s="115"/>
      <c r="F7" s="521"/>
      <c r="G7" s="523"/>
      <c r="H7" s="523"/>
      <c r="I7" s="523"/>
      <c r="J7" s="523"/>
      <c r="K7" s="523"/>
      <c r="L7" s="523"/>
    </row>
    <row r="8" spans="1:12" ht="17.25" thickBot="1" x14ac:dyDescent="0.35">
      <c r="A8" s="393"/>
      <c r="B8" s="239">
        <v>-8500</v>
      </c>
      <c r="C8" s="199"/>
      <c r="D8" s="199"/>
      <c r="E8" s="199"/>
      <c r="F8" s="524"/>
      <c r="G8" s="525"/>
      <c r="H8" s="525"/>
      <c r="I8" s="525"/>
      <c r="J8" s="525"/>
      <c r="K8" s="525"/>
      <c r="L8" s="525"/>
    </row>
    <row r="9" spans="1:12" ht="17.25" thickTop="1" x14ac:dyDescent="0.3">
      <c r="A9" s="84" t="s">
        <v>84</v>
      </c>
      <c r="B9" s="40">
        <f t="shared" ref="B9:H9" si="0">SUM(B4:B8)</f>
        <v>31500</v>
      </c>
      <c r="C9" s="129">
        <f t="shared" si="0"/>
        <v>40000</v>
      </c>
      <c r="D9" s="129">
        <f t="shared" si="0"/>
        <v>40000</v>
      </c>
      <c r="E9" s="129">
        <f t="shared" si="0"/>
        <v>30000</v>
      </c>
      <c r="F9" s="526">
        <f t="shared" si="0"/>
        <v>30000</v>
      </c>
      <c r="G9" s="527">
        <f>SUM(G4:G8)</f>
        <v>30000</v>
      </c>
      <c r="H9" s="527">
        <f t="shared" si="0"/>
        <v>30000</v>
      </c>
      <c r="I9" s="527">
        <f>SUM(I4:I8)</f>
        <v>29000</v>
      </c>
      <c r="J9" s="527">
        <f>SUM(J4:J8)</f>
        <v>29000</v>
      </c>
      <c r="K9" s="527">
        <f>SUM(K4:K8)</f>
        <v>26000</v>
      </c>
      <c r="L9" s="527">
        <f>SUM(L4:L8)</f>
        <v>20000</v>
      </c>
    </row>
  </sheetData>
  <phoneticPr fontId="18" type="noConversion"/>
  <printOptions horizontalCentered="1"/>
  <pageMargins left="0.75" right="0.75" top="1" bottom="1" header="0.5" footer="0.5"/>
  <pageSetup orientation="portrait" r:id="rId1"/>
  <headerFooter alignWithMargins="0">
    <oddHeader>&amp;RPage &amp;P of &amp;N</oddHeader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1</vt:i4>
      </vt:variant>
    </vt:vector>
  </HeadingPairs>
  <TitlesOfParts>
    <vt:vector size="48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INDIV PAYROLL</vt:lpstr>
      <vt:lpstr>642 FF RATES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J. Wittig</cp:lastModifiedBy>
  <cp:lastPrinted>2021-08-26T15:54:10Z</cp:lastPrinted>
  <dcterms:created xsi:type="dcterms:W3CDTF">2002-06-05T21:07:58Z</dcterms:created>
  <dcterms:modified xsi:type="dcterms:W3CDTF">2021-09-01T17:29:14Z</dcterms:modified>
</cp:coreProperties>
</file>