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Budget\FY2019\"/>
    </mc:Choice>
  </mc:AlternateContent>
  <xr:revisionPtr revIDLastSave="0" documentId="13_ncr:1_{9A0D4A05-71DC-4E2F-B47B-60F9DCE3AEFD}" xr6:coauthVersionLast="36" xr6:coauthVersionMax="36" xr10:uidLastSave="{00000000-0000-0000-0000-000000000000}"/>
  <bookViews>
    <workbookView xWindow="-30" yWindow="-15" windowWidth="9030" windowHeight="11475" tabRatio="973" xr2:uid="{00000000-000D-0000-FFFF-FFFF00000000}"/>
  </bookViews>
  <sheets>
    <sheet name="CATEGORY PAGE" sheetId="105" r:id="rId1"/>
    <sheet name="REVENUE" sheetId="141" r:id="rId2"/>
    <sheet name="501 PROPERTY TAX FEES" sheetId="120" r:id="rId3"/>
    <sheet name="502 SALES TAX COLLECTION COSTS" sheetId="119" r:id="rId4"/>
    <sheet name="503 SUNSET VALLEY" sheetId="118" r:id="rId5"/>
    <sheet name="601 APPARATUS PMTS." sheetId="8" r:id="rId6"/>
    <sheet name="602 ALPHA PAGERS" sheetId="64" r:id="rId7"/>
    <sheet name="603 DISPATCH &amp; COMM" sheetId="65" r:id="rId8"/>
    <sheet name="604 FUEL" sheetId="113" r:id="rId9"/>
    <sheet name="605 SCBA" sheetId="67" r:id="rId10"/>
    <sheet name="606 VEH MTN REP" sheetId="95" r:id="rId11"/>
    <sheet name="608 VEHICLE SUPPLIES" sheetId="100" r:id="rId12"/>
    <sheet name="609 UNIFORMS &amp; PROTECTIVE GEAR" sheetId="115" r:id="rId13"/>
    <sheet name="Uniform WS" sheetId="117" r:id="rId14"/>
    <sheet name="Gear WS" sheetId="116" r:id="rId15"/>
    <sheet name="611 EMS SUPPLIES" sheetId="123" r:id="rId16"/>
    <sheet name="612 REHAB SUPPLIES" sheetId="122" r:id="rId17"/>
    <sheet name="613 AUTO INSURANCE" sheetId="112" r:id="rId18"/>
    <sheet name="632 FIRE &amp; RESCUE TRAINING" sheetId="69" r:id="rId19"/>
    <sheet name="633 SEMINARS &amp; CONFERENCES" sheetId="126" r:id="rId20"/>
    <sheet name="634 FIRE ACADEMY" sheetId="125" r:id="rId21"/>
    <sheet name="635 EMT CERT COURSE" sheetId="140" r:id="rId22"/>
    <sheet name="636 VENDING MACHINES" sheetId="147" r:id="rId23"/>
    <sheet name="641 BENEFITS" sheetId="153" r:id="rId24"/>
    <sheet name="642 PAYROLL" sheetId="151" r:id="rId25"/>
    <sheet name="642 INDIV PAYROLL" sheetId="128" state="hidden" r:id="rId26"/>
    <sheet name="642 FF RATES" sheetId="131" r:id="rId27"/>
    <sheet name="642 LONGEVITY" sheetId="155" r:id="rId28"/>
    <sheet name="642 CERT PAY" sheetId="144" r:id="rId29"/>
    <sheet name="642 RESCUE &amp; INSTRUCTOR CERTS" sheetId="156" r:id="rId30"/>
    <sheet name="643 RECOGNITION" sheetId="133" r:id="rId31"/>
    <sheet name="644 CERTIFICATIONS" sheetId="132" r:id="rId32"/>
    <sheet name="645 RECRUITMENT" sheetId="136" r:id="rId33"/>
    <sheet name="651 BLDG GROUND MAINT" sheetId="74" r:id="rId34"/>
    <sheet name="652 OFFICE SUPPLIES" sheetId="77" r:id="rId35"/>
    <sheet name="653 STATION SUPPLIES" sheetId="75" r:id="rId36"/>
    <sheet name="654 BANK FEES" sheetId="80" r:id="rId37"/>
    <sheet name="655 DUES AND SUBSCRIPTIONS" sheetId="79" r:id="rId38"/>
    <sheet name="656 INFORMATION TECHNOLOGY" sheetId="88" r:id="rId39"/>
    <sheet name="657 POSTAGE" sheetId="86" r:id="rId40"/>
    <sheet name="658 PROP &amp; LIABILITY" sheetId="135" r:id="rId41"/>
    <sheet name="659 PROFESSIONAL SVCS" sheetId="85" r:id="rId42"/>
    <sheet name="660 PUBLIC NOTICES" sheetId="83" r:id="rId43"/>
    <sheet name="661 TELEPHONE" sheetId="15" r:id="rId44"/>
    <sheet name="662 UTILITIES" sheetId="16" r:id="rId45"/>
    <sheet name="663 BOND DEBT SVC" sheetId="90" r:id="rId46"/>
    <sheet name="664 TCESD COMPENSATION" sheetId="101" r:id="rId47"/>
    <sheet name="665 GRANT MATCHING" sheetId="137" r:id="rId48"/>
    <sheet name="666 CONTRACT SERVICES" sheetId="139" state="hidden" r:id="rId49"/>
    <sheet name="671 PREVENTION" sheetId="134" r:id="rId50"/>
    <sheet name="672 PUBLIC EDUCATION" sheetId="102" r:id="rId51"/>
  </sheets>
  <definedNames>
    <definedName name="_xlnm._FilterDatabase" localSheetId="21" hidden="1">'635 EMT CERT COURSE'!$A$6:$C$11</definedName>
    <definedName name="_xlnm.Print_Area" localSheetId="27">'642 LONGEVITY'!$A$1:$M$24</definedName>
    <definedName name="_xlnm.Print_Titles" localSheetId="18">'632 FIRE &amp; RESCUE TRAINING'!$1:$2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8" i="151" l="1"/>
  <c r="H4" i="156" l="1"/>
  <c r="H5" i="156"/>
  <c r="H6" i="156"/>
  <c r="H7" i="156"/>
  <c r="H8" i="156"/>
  <c r="H9" i="156"/>
  <c r="H10" i="156"/>
  <c r="H11" i="156"/>
  <c r="H12" i="156"/>
  <c r="H13" i="156"/>
  <c r="H14" i="156"/>
  <c r="H15" i="156"/>
  <c r="H16" i="156"/>
  <c r="H17" i="156"/>
  <c r="H18" i="156"/>
  <c r="H19" i="156"/>
  <c r="H20" i="156"/>
  <c r="H21" i="156"/>
  <c r="H22" i="156"/>
  <c r="H23" i="156"/>
  <c r="H24" i="156"/>
  <c r="H25" i="156"/>
  <c r="H26" i="156"/>
  <c r="H27" i="156"/>
  <c r="H28" i="156"/>
  <c r="H29" i="156"/>
  <c r="H30" i="156"/>
  <c r="H31" i="156"/>
  <c r="H32" i="156"/>
  <c r="H33" i="156"/>
  <c r="H34" i="156"/>
  <c r="H3" i="156"/>
  <c r="H13" i="151"/>
  <c r="H9" i="151"/>
  <c r="I43" i="151" l="1"/>
  <c r="I41" i="151"/>
  <c r="I40" i="151"/>
  <c r="I31" i="151"/>
  <c r="I30" i="151"/>
  <c r="I29" i="151"/>
  <c r="I28" i="151"/>
  <c r="I27" i="151"/>
  <c r="I26" i="151"/>
  <c r="I25" i="151"/>
  <c r="I24" i="151"/>
  <c r="I23" i="151"/>
  <c r="I22" i="151"/>
  <c r="I21" i="151"/>
  <c r="I20" i="151"/>
  <c r="I19" i="151"/>
  <c r="I18" i="151"/>
  <c r="I17" i="151"/>
  <c r="I16" i="151"/>
  <c r="I15" i="151"/>
  <c r="I14" i="151"/>
  <c r="I13" i="151"/>
  <c r="I12" i="151"/>
  <c r="I11" i="151"/>
  <c r="I10" i="151"/>
  <c r="I9" i="151"/>
  <c r="I8" i="151"/>
  <c r="I7" i="151"/>
  <c r="I6" i="151"/>
  <c r="I5" i="151"/>
  <c r="I4" i="151"/>
  <c r="I3" i="151"/>
  <c r="I2" i="151"/>
  <c r="H2" i="151"/>
  <c r="H29" i="151"/>
  <c r="H14" i="151"/>
  <c r="H16" i="151"/>
  <c r="H25" i="151" l="1"/>
  <c r="H22" i="151"/>
  <c r="H30" i="151"/>
  <c r="H27" i="151"/>
  <c r="H19" i="151"/>
  <c r="H4" i="151" l="1"/>
  <c r="H10" i="151"/>
  <c r="H15" i="151"/>
  <c r="H5" i="151"/>
  <c r="H40" i="151"/>
  <c r="H43" i="151"/>
  <c r="H8" i="151"/>
  <c r="H3" i="151"/>
  <c r="H24" i="151"/>
  <c r="H12" i="151"/>
  <c r="H7" i="151"/>
  <c r="H11" i="151"/>
  <c r="H17" i="151"/>
  <c r="H21" i="151"/>
  <c r="H20" i="151"/>
  <c r="H23" i="151"/>
  <c r="H18" i="151"/>
  <c r="H26" i="151"/>
  <c r="H6" i="151"/>
  <c r="M20" i="151" l="1"/>
  <c r="M18" i="151"/>
  <c r="M13" i="151"/>
  <c r="M9" i="151"/>
  <c r="J4" i="141" l="1"/>
  <c r="M43" i="151" l="1"/>
  <c r="M41" i="151"/>
  <c r="M40" i="151"/>
  <c r="M36" i="151"/>
  <c r="M6" i="151"/>
  <c r="M3" i="151"/>
  <c r="I5" i="118" l="1"/>
  <c r="I5" i="120" l="1"/>
  <c r="I10" i="88" l="1"/>
  <c r="K36" i="151"/>
  <c r="H55" i="105"/>
  <c r="L14" i="141" l="1"/>
  <c r="I5" i="15"/>
  <c r="I35" i="74"/>
  <c r="I6" i="126"/>
  <c r="I10" i="123"/>
  <c r="I16" i="67"/>
  <c r="I12" i="67"/>
  <c r="I11" i="67"/>
  <c r="I6" i="102"/>
  <c r="I15" i="102"/>
  <c r="I17" i="134"/>
  <c r="I13" i="137"/>
  <c r="I6" i="101"/>
  <c r="I11" i="101"/>
  <c r="I9" i="90"/>
  <c r="I15" i="90"/>
  <c r="I5" i="16" l="1"/>
  <c r="I6" i="16"/>
  <c r="I7" i="16"/>
  <c r="I8" i="16"/>
  <c r="I9" i="16"/>
  <c r="I10" i="16"/>
  <c r="I11" i="16"/>
  <c r="I12" i="16"/>
  <c r="I13" i="16"/>
  <c r="I14" i="16"/>
  <c r="I4" i="15"/>
  <c r="I8" i="15"/>
  <c r="I12" i="15" s="1"/>
  <c r="F47" i="105" s="1"/>
  <c r="I13" i="83"/>
  <c r="I9" i="85"/>
  <c r="I14" i="85" s="1"/>
  <c r="F45" i="105" s="1"/>
  <c r="I15" i="135"/>
  <c r="I16" i="135" s="1"/>
  <c r="F44" i="105" s="1"/>
  <c r="I13" i="86"/>
  <c r="I24" i="88"/>
  <c r="I22" i="88"/>
  <c r="I6" i="88"/>
  <c r="I18" i="79"/>
  <c r="I8" i="88"/>
  <c r="I12" i="88"/>
  <c r="I5" i="79"/>
  <c r="I16" i="79"/>
  <c r="I24" i="79"/>
  <c r="F41" i="105" s="1"/>
  <c r="I13" i="80"/>
  <c r="I16" i="75"/>
  <c r="F39" i="105" s="1"/>
  <c r="I20" i="77"/>
  <c r="I14" i="74"/>
  <c r="I7" i="74"/>
  <c r="I18" i="136"/>
  <c r="F36" i="105" s="1"/>
  <c r="I11" i="132"/>
  <c r="I12" i="132"/>
  <c r="I22" i="132" s="1"/>
  <c r="F35" i="105" s="1"/>
  <c r="I14" i="133"/>
  <c r="F34" i="105" s="1"/>
  <c r="C3" i="144"/>
  <c r="B3" i="144"/>
  <c r="C22" i="144"/>
  <c r="C21" i="144"/>
  <c r="B22" i="144"/>
  <c r="B21" i="144"/>
  <c r="C9" i="144"/>
  <c r="C8" i="144"/>
  <c r="C7" i="144"/>
  <c r="C6" i="144"/>
  <c r="B9" i="144"/>
  <c r="B8" i="144"/>
  <c r="B7" i="144"/>
  <c r="B6" i="144"/>
  <c r="G63" i="151"/>
  <c r="G61" i="151"/>
  <c r="G53" i="151"/>
  <c r="G52" i="151"/>
  <c r="G51" i="151"/>
  <c r="H21" i="153"/>
  <c r="H20" i="153"/>
  <c r="H18" i="153"/>
  <c r="H17" i="153"/>
  <c r="H16" i="153"/>
  <c r="H15" i="153"/>
  <c r="H9" i="153"/>
  <c r="G54" i="151" s="1"/>
  <c r="H6" i="153"/>
  <c r="H5" i="147"/>
  <c r="H12" i="147" s="1"/>
  <c r="F31" i="105" s="1"/>
  <c r="I19" i="140"/>
  <c r="F30" i="105" s="1"/>
  <c r="I33" i="125"/>
  <c r="I20" i="126"/>
  <c r="I9" i="126"/>
  <c r="I34" i="69"/>
  <c r="F27" i="105" s="1"/>
  <c r="I8" i="112"/>
  <c r="I10" i="122"/>
  <c r="F25" i="105" s="1"/>
  <c r="I13" i="123"/>
  <c r="I12" i="116"/>
  <c r="I10" i="116"/>
  <c r="I24" i="116" s="1"/>
  <c r="I6" i="115" s="1"/>
  <c r="I5" i="116"/>
  <c r="I15" i="116"/>
  <c r="I20" i="116"/>
  <c r="I23" i="116"/>
  <c r="I29" i="100"/>
  <c r="I23" i="95"/>
  <c r="F21" i="105" s="1"/>
  <c r="I18" i="67"/>
  <c r="I13" i="67"/>
  <c r="I6" i="113"/>
  <c r="I9" i="113" s="1"/>
  <c r="F19" i="105" s="1"/>
  <c r="I13" i="65"/>
  <c r="I10" i="65"/>
  <c r="I9" i="65"/>
  <c r="I6" i="65"/>
  <c r="I14" i="65"/>
  <c r="I7" i="65"/>
  <c r="I8" i="65"/>
  <c r="I7" i="64"/>
  <c r="I6" i="64"/>
  <c r="I11" i="64"/>
  <c r="F17" i="105" s="1"/>
  <c r="I14" i="8"/>
  <c r="J14" i="8"/>
  <c r="I11" i="118"/>
  <c r="F53" i="105"/>
  <c r="F52" i="105"/>
  <c r="F51" i="105"/>
  <c r="F50" i="105"/>
  <c r="F49" i="105"/>
  <c r="F46" i="105"/>
  <c r="F43" i="105"/>
  <c r="F40" i="105"/>
  <c r="F38" i="105"/>
  <c r="F29" i="105"/>
  <c r="F26" i="105"/>
  <c r="F24" i="105"/>
  <c r="F22" i="105"/>
  <c r="F15" i="105"/>
  <c r="I12" i="120"/>
  <c r="F13" i="105" s="1"/>
  <c r="J18" i="141"/>
  <c r="J9" i="141"/>
  <c r="J8" i="141"/>
  <c r="J3" i="141"/>
  <c r="I18" i="65" l="1"/>
  <c r="F18" i="105" s="1"/>
  <c r="I24" i="67"/>
  <c r="F20" i="105" s="1"/>
  <c r="G62" i="151"/>
  <c r="I19" i="105"/>
  <c r="H19" i="105"/>
  <c r="I31" i="105"/>
  <c r="H31" i="105"/>
  <c r="I35" i="105"/>
  <c r="H35" i="105"/>
  <c r="H36" i="105"/>
  <c r="I36" i="105"/>
  <c r="H39" i="105"/>
  <c r="I39" i="105"/>
  <c r="H47" i="105"/>
  <c r="I47" i="105"/>
  <c r="H18" i="105"/>
  <c r="I18" i="105"/>
  <c r="H20" i="105"/>
  <c r="I20" i="105"/>
  <c r="H30" i="105"/>
  <c r="I30" i="105"/>
  <c r="H24" i="105"/>
  <c r="I24" i="105"/>
  <c r="I29" i="105"/>
  <c r="H29" i="105"/>
  <c r="I38" i="105"/>
  <c r="H38" i="105"/>
  <c r="I40" i="105"/>
  <c r="H40" i="105"/>
  <c r="I46" i="105"/>
  <c r="H46" i="105"/>
  <c r="I49" i="105"/>
  <c r="H49" i="105"/>
  <c r="I51" i="105"/>
  <c r="H51" i="105"/>
  <c r="I53" i="105"/>
  <c r="H53" i="105"/>
  <c r="I17" i="105"/>
  <c r="H17" i="105"/>
  <c r="I21" i="105"/>
  <c r="H21" i="105"/>
  <c r="I25" i="105"/>
  <c r="H25" i="105"/>
  <c r="I27" i="105"/>
  <c r="H27" i="105"/>
  <c r="H34" i="105"/>
  <c r="I34" i="105"/>
  <c r="H22" i="105"/>
  <c r="I22" i="105"/>
  <c r="H26" i="105"/>
  <c r="I26" i="105"/>
  <c r="I43" i="105"/>
  <c r="H43" i="105"/>
  <c r="I50" i="105"/>
  <c r="H50" i="105"/>
  <c r="I52" i="105"/>
  <c r="H52" i="105"/>
  <c r="I22" i="126"/>
  <c r="F28" i="105" s="1"/>
  <c r="I38" i="74"/>
  <c r="F37" i="105" s="1"/>
  <c r="H45" i="105"/>
  <c r="I45" i="105"/>
  <c r="I17" i="16"/>
  <c r="F48" i="105" s="1"/>
  <c r="H48" i="105" s="1"/>
  <c r="H41" i="105"/>
  <c r="I41" i="105"/>
  <c r="I27" i="88"/>
  <c r="F42" i="105" s="1"/>
  <c r="I15" i="105"/>
  <c r="H15" i="105"/>
  <c r="I13" i="105"/>
  <c r="H13" i="105"/>
  <c r="H44" i="105"/>
  <c r="I44" i="105"/>
  <c r="I42" i="105"/>
  <c r="H42" i="105"/>
  <c r="I37" i="105"/>
  <c r="H37" i="105"/>
  <c r="F16" i="105"/>
  <c r="I16" i="105" s="1"/>
  <c r="I16" i="8"/>
  <c r="H28" i="105" l="1"/>
  <c r="I28" i="105"/>
  <c r="K17" i="141"/>
  <c r="K15" i="141"/>
  <c r="K11" i="141"/>
  <c r="K4" i="141"/>
  <c r="K8" i="141"/>
  <c r="I4" i="141"/>
  <c r="F2" i="105" l="1"/>
  <c r="H2" i="105" l="1"/>
  <c r="I2" i="105"/>
  <c r="J33" i="151"/>
  <c r="B33" i="151"/>
  <c r="D16" i="131" l="1"/>
  <c r="M3" i="155"/>
  <c r="H5" i="120" l="1"/>
  <c r="H5" i="15" l="1"/>
  <c r="H22" i="88"/>
  <c r="H23" i="88"/>
  <c r="H18" i="79"/>
  <c r="H16" i="79"/>
  <c r="H5" i="79"/>
  <c r="H23" i="116"/>
  <c r="H11" i="65"/>
  <c r="H10" i="65"/>
  <c r="H9" i="65"/>
  <c r="H6" i="65"/>
  <c r="H6" i="64"/>
  <c r="H9" i="90" l="1"/>
  <c r="B47" i="151" l="1"/>
  <c r="C42" i="151" l="1"/>
  <c r="E42" i="151" s="1"/>
  <c r="H14" i="16"/>
  <c r="H8" i="15"/>
  <c r="H24" i="88"/>
  <c r="H12" i="88"/>
  <c r="H10" i="88"/>
  <c r="G6" i="153"/>
  <c r="I6" i="153" s="1"/>
  <c r="H19" i="116"/>
  <c r="H17" i="116"/>
  <c r="H12" i="116"/>
  <c r="H10" i="116"/>
  <c r="H5" i="116"/>
  <c r="D7" i="117"/>
  <c r="H22" i="67"/>
  <c r="H18" i="67"/>
  <c r="H16" i="67"/>
  <c r="H16" i="65"/>
  <c r="H31" i="69" l="1"/>
  <c r="H20" i="116"/>
  <c r="H20" i="126" l="1"/>
  <c r="H6" i="102" l="1"/>
  <c r="H6" i="101"/>
  <c r="H8" i="88"/>
  <c r="H6" i="88"/>
  <c r="H14" i="74"/>
  <c r="H9" i="126"/>
  <c r="H6" i="126"/>
  <c r="H21" i="67"/>
  <c r="H7" i="64"/>
  <c r="H14" i="65"/>
  <c r="H8" i="65"/>
  <c r="H7" i="65"/>
  <c r="G6" i="102" l="1"/>
  <c r="G15" i="102" s="1"/>
  <c r="G17" i="134"/>
  <c r="G13" i="137"/>
  <c r="G6" i="101"/>
  <c r="G11" i="101" s="1"/>
  <c r="G15" i="90"/>
  <c r="G14" i="16"/>
  <c r="G13" i="16"/>
  <c r="G12" i="16"/>
  <c r="G11" i="16"/>
  <c r="G10" i="16"/>
  <c r="G9" i="16"/>
  <c r="G8" i="16"/>
  <c r="G7" i="16"/>
  <c r="G6" i="16"/>
  <c r="G5" i="16"/>
  <c r="G8" i="15"/>
  <c r="G5" i="15"/>
  <c r="G4" i="15"/>
  <c r="G13" i="83"/>
  <c r="G9" i="85"/>
  <c r="G14" i="85" s="1"/>
  <c r="G16" i="135"/>
  <c r="G13" i="86"/>
  <c r="G12" i="88"/>
  <c r="G10" i="88"/>
  <c r="G6" i="88"/>
  <c r="G18" i="79"/>
  <c r="G16" i="79"/>
  <c r="G5" i="79"/>
  <c r="G24" i="79" s="1"/>
  <c r="G13" i="80"/>
  <c r="G16" i="75"/>
  <c r="G8" i="77"/>
  <c r="G20" i="77" s="1"/>
  <c r="G7" i="74"/>
  <c r="G38" i="74" s="1"/>
  <c r="G18" i="136"/>
  <c r="H17" i="132"/>
  <c r="G17" i="132"/>
  <c r="G12" i="132"/>
  <c r="G11" i="132"/>
  <c r="G9" i="132"/>
  <c r="G7" i="132"/>
  <c r="G14" i="133"/>
  <c r="C23" i="144"/>
  <c r="B23" i="144"/>
  <c r="F21" i="153"/>
  <c r="F20" i="153"/>
  <c r="F9" i="153"/>
  <c r="F6" i="153"/>
  <c r="F27" i="153" s="1"/>
  <c r="F12" i="147"/>
  <c r="G19" i="140"/>
  <c r="G33" i="125"/>
  <c r="G19" i="126"/>
  <c r="G6" i="126"/>
  <c r="G34" i="69"/>
  <c r="G8" i="112"/>
  <c r="G10" i="122"/>
  <c r="G10" i="123"/>
  <c r="G13" i="123" s="1"/>
  <c r="G20" i="116"/>
  <c r="G19" i="116"/>
  <c r="G17" i="116"/>
  <c r="G15" i="116"/>
  <c r="G12" i="116"/>
  <c r="G10" i="116"/>
  <c r="G5" i="116"/>
  <c r="G29" i="100"/>
  <c r="G23" i="95"/>
  <c r="G19" i="67"/>
  <c r="G13" i="67"/>
  <c r="G12" i="67"/>
  <c r="G11" i="67"/>
  <c r="G9" i="113"/>
  <c r="G16" i="65"/>
  <c r="G13" i="65"/>
  <c r="G11" i="65"/>
  <c r="G10" i="65"/>
  <c r="G9" i="65"/>
  <c r="G8" i="65"/>
  <c r="G7" i="65"/>
  <c r="G6" i="65"/>
  <c r="G6" i="64"/>
  <c r="G11" i="64" s="1"/>
  <c r="G14" i="8"/>
  <c r="G11" i="118"/>
  <c r="G5" i="120"/>
  <c r="G4" i="120"/>
  <c r="H4" i="141"/>
  <c r="H3" i="141"/>
  <c r="G7" i="141"/>
  <c r="H7" i="141" s="1"/>
  <c r="I7" i="141" s="1"/>
  <c r="J7" i="141" s="1"/>
  <c r="G12" i="15" l="1"/>
  <c r="I5" i="119"/>
  <c r="I12" i="119" s="1"/>
  <c r="F14" i="105" s="1"/>
  <c r="F4" i="105"/>
  <c r="J24" i="141"/>
  <c r="L7" i="141" s="1"/>
  <c r="G12" i="120"/>
  <c r="G24" i="67"/>
  <c r="G24" i="116"/>
  <c r="G6" i="115" s="1"/>
  <c r="G22" i="126"/>
  <c r="G18" i="65"/>
  <c r="G22" i="132"/>
  <c r="G27" i="88"/>
  <c r="G17" i="16"/>
  <c r="G5" i="119"/>
  <c r="G12" i="119" s="1"/>
  <c r="H24" i="141"/>
  <c r="H4" i="105" l="1"/>
  <c r="I4" i="105"/>
  <c r="L21" i="141"/>
  <c r="L17" i="141"/>
  <c r="L12" i="141"/>
  <c r="L8" i="141"/>
  <c r="L4" i="141"/>
  <c r="L18" i="141"/>
  <c r="L13" i="141"/>
  <c r="L9" i="141"/>
  <c r="L5" i="141"/>
  <c r="L19" i="141"/>
  <c r="L15" i="141"/>
  <c r="L10" i="141"/>
  <c r="L6" i="141"/>
  <c r="L20" i="141"/>
  <c r="L16" i="141"/>
  <c r="L11" i="141"/>
  <c r="L3" i="141"/>
  <c r="H14" i="105"/>
  <c r="I14" i="105"/>
  <c r="B15" i="144"/>
  <c r="B16" i="144"/>
  <c r="C20" i="144"/>
  <c r="C19" i="144"/>
  <c r="C18" i="144"/>
  <c r="C17" i="144"/>
  <c r="C16" i="144"/>
  <c r="C15" i="144"/>
  <c r="C14" i="144"/>
  <c r="C13" i="144"/>
  <c r="C12" i="144"/>
  <c r="C11" i="144"/>
  <c r="C5" i="144"/>
  <c r="B20" i="144"/>
  <c r="B19" i="144"/>
  <c r="B18" i="144"/>
  <c r="B17" i="144"/>
  <c r="B14" i="144"/>
  <c r="B13" i="144"/>
  <c r="B12" i="144"/>
  <c r="B11" i="144"/>
  <c r="B5" i="144"/>
  <c r="H33" i="151" l="1"/>
  <c r="H47" i="151"/>
  <c r="F13" i="135"/>
  <c r="G42" i="151"/>
  <c r="G9" i="153"/>
  <c r="H5" i="16" l="1"/>
  <c r="H6" i="16"/>
  <c r="H7" i="16"/>
  <c r="H8" i="16"/>
  <c r="H9" i="16"/>
  <c r="H10" i="16"/>
  <c r="H11" i="16"/>
  <c r="H12" i="16"/>
  <c r="H13" i="16"/>
  <c r="H12" i="67" l="1"/>
  <c r="I3" i="141" l="1"/>
  <c r="H11" i="67"/>
  <c r="H13" i="67"/>
  <c r="E22" i="117"/>
  <c r="H15" i="116"/>
  <c r="E10" i="155"/>
  <c r="F10" i="155" s="1"/>
  <c r="G10" i="155" s="1"/>
  <c r="H10" i="155" s="1"/>
  <c r="I10" i="155" s="1"/>
  <c r="J10" i="155" s="1"/>
  <c r="K10" i="155" s="1"/>
  <c r="L10" i="155" s="1"/>
  <c r="M10" i="155" s="1"/>
  <c r="D17" i="155" s="1"/>
  <c r="E17" i="155" s="1"/>
  <c r="F17" i="155" s="1"/>
  <c r="G17" i="155" s="1"/>
  <c r="H17" i="155" s="1"/>
  <c r="I17" i="155" s="1"/>
  <c r="J17" i="155" s="1"/>
  <c r="K17" i="155" s="1"/>
  <c r="L17" i="155" s="1"/>
  <c r="M17" i="155" s="1"/>
  <c r="D24" i="155" s="1"/>
  <c r="E24" i="155" s="1"/>
  <c r="F24" i="155" s="1"/>
  <c r="G24" i="155" s="1"/>
  <c r="H24" i="155" s="1"/>
  <c r="I24" i="155" s="1"/>
  <c r="J24" i="155" s="1"/>
  <c r="K24" i="155" s="1"/>
  <c r="L24" i="155" s="1"/>
  <c r="M24" i="155" s="1"/>
  <c r="H11" i="132"/>
  <c r="H12" i="132"/>
  <c r="H7" i="74"/>
  <c r="H8" i="77"/>
  <c r="H4" i="15"/>
  <c r="H9" i="85"/>
  <c r="H13" i="65"/>
  <c r="F5" i="119"/>
  <c r="F12" i="119" s="1"/>
  <c r="F15" i="102"/>
  <c r="F17" i="134"/>
  <c r="F13" i="137"/>
  <c r="F6" i="101"/>
  <c r="F11" i="101" s="1"/>
  <c r="F15" i="90"/>
  <c r="F14" i="16"/>
  <c r="F13" i="16"/>
  <c r="F12" i="16"/>
  <c r="F11" i="16"/>
  <c r="F10" i="16"/>
  <c r="F9" i="16"/>
  <c r="F8" i="16"/>
  <c r="F7" i="16"/>
  <c r="F6" i="16"/>
  <c r="F5" i="16"/>
  <c r="F8" i="15"/>
  <c r="F7" i="15"/>
  <c r="F5" i="15"/>
  <c r="F4" i="15"/>
  <c r="F13" i="83"/>
  <c r="F9" i="85"/>
  <c r="F14" i="85" s="1"/>
  <c r="F16" i="135"/>
  <c r="F13" i="86"/>
  <c r="F21" i="88"/>
  <c r="F20" i="88"/>
  <c r="F12" i="88"/>
  <c r="F10" i="88"/>
  <c r="F6" i="88"/>
  <c r="F16" i="79"/>
  <c r="F24" i="79" s="1"/>
  <c r="F13" i="80"/>
  <c r="F16" i="75"/>
  <c r="F8" i="77"/>
  <c r="F20" i="77" s="1"/>
  <c r="F7" i="74"/>
  <c r="F38" i="74" s="1"/>
  <c r="F18" i="136"/>
  <c r="F17" i="132"/>
  <c r="F12" i="132"/>
  <c r="F11" i="132"/>
  <c r="F9" i="132"/>
  <c r="F7" i="132"/>
  <c r="F14" i="133"/>
  <c r="E16" i="153"/>
  <c r="E17" i="153"/>
  <c r="E15" i="153"/>
  <c r="E21" i="153"/>
  <c r="E20" i="153"/>
  <c r="E12" i="147"/>
  <c r="F19" i="140"/>
  <c r="F33" i="125"/>
  <c r="F22" i="126"/>
  <c r="F27" i="69"/>
  <c r="F34" i="69" s="1"/>
  <c r="F8" i="112"/>
  <c r="F10" i="122"/>
  <c r="F13" i="123"/>
  <c r="F19" i="116"/>
  <c r="F17" i="116"/>
  <c r="F15" i="116"/>
  <c r="F12" i="116"/>
  <c r="F10" i="116"/>
  <c r="F5" i="116"/>
  <c r="F26" i="100"/>
  <c r="F25" i="100"/>
  <c r="F23" i="95"/>
  <c r="F19" i="67"/>
  <c r="F18" i="67"/>
  <c r="F13" i="67"/>
  <c r="F12" i="67"/>
  <c r="F24" i="67" s="1"/>
  <c r="F11" i="67"/>
  <c r="F9" i="113"/>
  <c r="F15" i="65"/>
  <c r="F13" i="65"/>
  <c r="F11" i="65"/>
  <c r="F10" i="65"/>
  <c r="F9" i="65"/>
  <c r="F8" i="65"/>
  <c r="F7" i="65"/>
  <c r="F6" i="65"/>
  <c r="F18" i="65" s="1"/>
  <c r="F6" i="64"/>
  <c r="F11" i="64" s="1"/>
  <c r="F9" i="8"/>
  <c r="F8" i="8"/>
  <c r="F11" i="118"/>
  <c r="F5" i="120"/>
  <c r="F12" i="120" s="1"/>
  <c r="G21" i="141"/>
  <c r="G13" i="141"/>
  <c r="G12" i="141"/>
  <c r="G4" i="141"/>
  <c r="D11" i="105"/>
  <c r="F14" i="8" l="1"/>
  <c r="F29" i="100"/>
  <c r="F22" i="132"/>
  <c r="F12" i="15"/>
  <c r="F17" i="16"/>
  <c r="G24" i="141"/>
  <c r="F24" i="116"/>
  <c r="F27" i="88"/>
  <c r="E27" i="153"/>
  <c r="D54" i="105"/>
  <c r="F12" i="115" l="1"/>
  <c r="G12" i="115"/>
  <c r="H24" i="79"/>
  <c r="P9" i="151"/>
  <c r="C43" i="151" s="1"/>
  <c r="D42" i="117"/>
  <c r="C30" i="151" l="1"/>
  <c r="C31" i="151"/>
  <c r="E43" i="151"/>
  <c r="G43" i="151" s="1"/>
  <c r="K43" i="151" s="1"/>
  <c r="P10" i="151"/>
  <c r="D7" i="131"/>
  <c r="D13" i="131"/>
  <c r="G3" i="155"/>
  <c r="K3" i="155"/>
  <c r="D4" i="131"/>
  <c r="D10" i="131"/>
  <c r="E3" i="155"/>
  <c r="I3" i="155"/>
  <c r="F30" i="151" l="1"/>
  <c r="E30" i="151"/>
  <c r="C28" i="151"/>
  <c r="F28" i="151" s="1"/>
  <c r="C27" i="151"/>
  <c r="F27" i="151" s="1"/>
  <c r="E31" i="151"/>
  <c r="F31" i="151"/>
  <c r="E27" i="151"/>
  <c r="P11" i="151"/>
  <c r="P12" i="151"/>
  <c r="E28" i="151" l="1"/>
  <c r="C25" i="151"/>
  <c r="F25" i="151" s="1"/>
  <c r="C26" i="151"/>
  <c r="F26" i="151" s="1"/>
  <c r="G30" i="151"/>
  <c r="K30" i="151" s="1"/>
  <c r="C20" i="151"/>
  <c r="C29" i="151"/>
  <c r="C22" i="151"/>
  <c r="C23" i="151"/>
  <c r="C21" i="151"/>
  <c r="G28" i="151"/>
  <c r="K28" i="151" s="1"/>
  <c r="G31" i="151"/>
  <c r="K31" i="151" s="1"/>
  <c r="G27" i="151"/>
  <c r="K27" i="151" s="1"/>
  <c r="P13" i="151"/>
  <c r="C24" i="151" l="1"/>
  <c r="F24" i="151" s="1"/>
  <c r="E26" i="151"/>
  <c r="G26" i="151" s="1"/>
  <c r="K26" i="151" s="1"/>
  <c r="E25" i="151"/>
  <c r="G25" i="151" s="1"/>
  <c r="K25" i="151" s="1"/>
  <c r="F29" i="151"/>
  <c r="E29" i="151"/>
  <c r="P14" i="151"/>
  <c r="G29" i="151" l="1"/>
  <c r="K29" i="151" s="1"/>
  <c r="C16" i="151"/>
  <c r="C41" i="151"/>
  <c r="E41" i="151" s="1"/>
  <c r="E24" i="151"/>
  <c r="G24" i="151" s="1"/>
  <c r="K24" i="151" s="1"/>
  <c r="P15" i="151"/>
  <c r="P16" i="151" l="1"/>
  <c r="E22" i="151"/>
  <c r="E23" i="151"/>
  <c r="F22" i="151"/>
  <c r="F23" i="151"/>
  <c r="P17" i="151" l="1"/>
  <c r="P18" i="151" s="1"/>
  <c r="G23" i="151"/>
  <c r="K23" i="151" s="1"/>
  <c r="G22" i="151"/>
  <c r="K22" i="151" s="1"/>
  <c r="E9" i="8"/>
  <c r="C14" i="151" l="1"/>
  <c r="C10" i="151"/>
  <c r="E10" i="151" s="1"/>
  <c r="C15" i="151"/>
  <c r="C19" i="151"/>
  <c r="P19" i="151"/>
  <c r="E6" i="101"/>
  <c r="D6" i="101"/>
  <c r="E10" i="90"/>
  <c r="E13" i="16"/>
  <c r="E12" i="16"/>
  <c r="E11" i="16"/>
  <c r="E10" i="16"/>
  <c r="E9" i="16"/>
  <c r="E8" i="16"/>
  <c r="E7" i="16"/>
  <c r="E6" i="16"/>
  <c r="E5" i="16"/>
  <c r="E7" i="15"/>
  <c r="D7" i="15"/>
  <c r="E5" i="15"/>
  <c r="D5" i="15"/>
  <c r="E4" i="15"/>
  <c r="D4" i="15"/>
  <c r="E9" i="85"/>
  <c r="D9" i="85"/>
  <c r="E11" i="135"/>
  <c r="E10" i="135"/>
  <c r="E9" i="135"/>
  <c r="E8" i="135"/>
  <c r="E7" i="135"/>
  <c r="E6" i="135"/>
  <c r="E19" i="88"/>
  <c r="E18" i="88"/>
  <c r="E12" i="88"/>
  <c r="E10" i="88"/>
  <c r="D10" i="88"/>
  <c r="E6" i="88"/>
  <c r="E16" i="79"/>
  <c r="D16" i="79"/>
  <c r="E8" i="80"/>
  <c r="D14" i="77"/>
  <c r="E8" i="77"/>
  <c r="D8" i="77"/>
  <c r="E24" i="74"/>
  <c r="E22" i="74"/>
  <c r="E21" i="74"/>
  <c r="E20" i="74"/>
  <c r="D20" i="74"/>
  <c r="E14" i="74"/>
  <c r="D14" i="74"/>
  <c r="D13" i="74"/>
  <c r="D8" i="74"/>
  <c r="E7" i="74"/>
  <c r="D7" i="74"/>
  <c r="E6" i="74"/>
  <c r="D6" i="74"/>
  <c r="E17" i="132"/>
  <c r="D17" i="132"/>
  <c r="E12" i="132"/>
  <c r="D12" i="132"/>
  <c r="E11" i="132"/>
  <c r="D11" i="132"/>
  <c r="E9" i="132"/>
  <c r="D9" i="132"/>
  <c r="E7" i="132"/>
  <c r="D7" i="132"/>
  <c r="D27" i="153"/>
  <c r="E15" i="140"/>
  <c r="D6" i="140"/>
  <c r="E15" i="126"/>
  <c r="D17" i="69"/>
  <c r="D5" i="112"/>
  <c r="E19" i="116"/>
  <c r="D19" i="116"/>
  <c r="E17" i="116"/>
  <c r="D17" i="116"/>
  <c r="E15" i="116"/>
  <c r="D15" i="116"/>
  <c r="D14" i="116"/>
  <c r="E12" i="116"/>
  <c r="D12" i="116"/>
  <c r="E10" i="116"/>
  <c r="D10" i="116"/>
  <c r="D8" i="116"/>
  <c r="E5" i="116"/>
  <c r="E11" i="100"/>
  <c r="E14" i="65"/>
  <c r="E13" i="65"/>
  <c r="E10" i="65"/>
  <c r="D10" i="65"/>
  <c r="E9" i="65"/>
  <c r="D9" i="65"/>
  <c r="E8" i="65"/>
  <c r="D8" i="65"/>
  <c r="E7" i="65"/>
  <c r="D7" i="65"/>
  <c r="E6" i="65"/>
  <c r="D6" i="65"/>
  <c r="E6" i="64"/>
  <c r="D12" i="8"/>
  <c r="C10" i="8"/>
  <c r="C9" i="8"/>
  <c r="C8" i="8"/>
  <c r="D5" i="118"/>
  <c r="E5" i="119"/>
  <c r="D5" i="119"/>
  <c r="E5" i="120"/>
  <c r="D5" i="120"/>
  <c r="E4" i="120"/>
  <c r="D4" i="120"/>
  <c r="F13" i="141"/>
  <c r="F12" i="141"/>
  <c r="F9" i="141"/>
  <c r="F10" i="151" l="1"/>
  <c r="G10" i="151" s="1"/>
  <c r="K10" i="151" s="1"/>
  <c r="C13" i="151"/>
  <c r="P20" i="151"/>
  <c r="G21" i="153"/>
  <c r="C12" i="151" l="1"/>
  <c r="C7" i="151"/>
  <c r="F7" i="151" s="1"/>
  <c r="C11" i="151"/>
  <c r="C9" i="151"/>
  <c r="P21" i="151"/>
  <c r="F12" i="151" l="1"/>
  <c r="E12" i="151"/>
  <c r="G12" i="151" s="1"/>
  <c r="E7" i="151"/>
  <c r="G7" i="151" s="1"/>
  <c r="K7" i="151" s="1"/>
  <c r="C8" i="151"/>
  <c r="C4" i="151"/>
  <c r="P22" i="151"/>
  <c r="C3" i="151" s="1"/>
  <c r="G20" i="153"/>
  <c r="H33" i="125"/>
  <c r="H5" i="119"/>
  <c r="C24" i="67"/>
  <c r="D24" i="67"/>
  <c r="H24" i="67"/>
  <c r="E24" i="67"/>
  <c r="C6" i="151" l="1"/>
  <c r="F6" i="151" s="1"/>
  <c r="F3" i="151"/>
  <c r="G3" i="151" s="1"/>
  <c r="K3" i="151" s="1"/>
  <c r="E3" i="151"/>
  <c r="P23" i="151"/>
  <c r="D33" i="117"/>
  <c r="D13" i="117"/>
  <c r="D41" i="117"/>
  <c r="D40" i="117"/>
  <c r="D39" i="117"/>
  <c r="D27" i="117"/>
  <c r="D21" i="117"/>
  <c r="D14" i="117"/>
  <c r="D12" i="117"/>
  <c r="D8" i="117"/>
  <c r="D23" i="117" s="1"/>
  <c r="D5" i="117"/>
  <c r="D20" i="117" s="1"/>
  <c r="D4" i="117"/>
  <c r="D19" i="117" s="1"/>
  <c r="J47" i="151"/>
  <c r="E6" i="151" l="1"/>
  <c r="G6" i="151" s="1"/>
  <c r="K6" i="151" s="1"/>
  <c r="P24" i="151"/>
  <c r="P25" i="151" s="1"/>
  <c r="C17" i="151"/>
  <c r="D15" i="117"/>
  <c r="D31" i="117"/>
  <c r="F7" i="105"/>
  <c r="E21" i="151"/>
  <c r="E18" i="136"/>
  <c r="D18" i="136"/>
  <c r="C18" i="136"/>
  <c r="D22" i="132"/>
  <c r="C22" i="132"/>
  <c r="E22" i="132"/>
  <c r="I24" i="141"/>
  <c r="I7" i="105" l="1"/>
  <c r="H7" i="105"/>
  <c r="P26" i="151"/>
  <c r="P27" i="151" s="1"/>
  <c r="P28" i="151" s="1"/>
  <c r="P29" i="151" s="1"/>
  <c r="P30" i="151" s="1"/>
  <c r="P31" i="151" s="1"/>
  <c r="C18" i="151"/>
  <c r="F21" i="151"/>
  <c r="G21" i="151" s="1"/>
  <c r="K21" i="151" s="1"/>
  <c r="E33" i="117"/>
  <c r="E32" i="117"/>
  <c r="E31" i="117"/>
  <c r="E27" i="117"/>
  <c r="E23" i="117"/>
  <c r="E21" i="117"/>
  <c r="E20" i="117"/>
  <c r="E19" i="117"/>
  <c r="E15" i="117"/>
  <c r="E14" i="117"/>
  <c r="E13" i="117"/>
  <c r="E12" i="117"/>
  <c r="E8" i="117"/>
  <c r="E7" i="117"/>
  <c r="E4" i="117"/>
  <c r="E5" i="117"/>
  <c r="E6" i="117"/>
  <c r="P32" i="151" l="1"/>
  <c r="C40" i="151"/>
  <c r="F18" i="151"/>
  <c r="E18" i="151"/>
  <c r="I47" i="151"/>
  <c r="P33" i="151" l="1"/>
  <c r="P34" i="151" s="1"/>
  <c r="P35" i="151" s="1"/>
  <c r="G18" i="151"/>
  <c r="K18" i="151" s="1"/>
  <c r="F3" i="105"/>
  <c r="I33" i="151" l="1"/>
  <c r="C5" i="151"/>
  <c r="P36" i="151"/>
  <c r="P37" i="151" s="1"/>
  <c r="I3" i="105"/>
  <c r="H3" i="105"/>
  <c r="H27" i="88"/>
  <c r="E14" i="8"/>
  <c r="I10" i="153"/>
  <c r="I20" i="153"/>
  <c r="C2" i="151" l="1"/>
  <c r="E2" i="151" s="1"/>
  <c r="F5" i="151"/>
  <c r="E5" i="151"/>
  <c r="C33" i="151"/>
  <c r="H16" i="135"/>
  <c r="G5" i="151" l="1"/>
  <c r="K5" i="151" s="1"/>
  <c r="F2" i="151"/>
  <c r="G2" i="151" s="1"/>
  <c r="E19" i="151"/>
  <c r="E20" i="151"/>
  <c r="E16" i="151"/>
  <c r="F15" i="151"/>
  <c r="F20" i="151" l="1"/>
  <c r="E15" i="151"/>
  <c r="G15" i="151" s="1"/>
  <c r="K15" i="151" s="1"/>
  <c r="F16" i="151"/>
  <c r="G16" i="151" s="1"/>
  <c r="K16" i="151" s="1"/>
  <c r="F19" i="151"/>
  <c r="G19" i="151" s="1"/>
  <c r="K19" i="151" s="1"/>
  <c r="C13" i="137"/>
  <c r="D13" i="137"/>
  <c r="E13" i="137"/>
  <c r="H13" i="137"/>
  <c r="B12" i="137"/>
  <c r="B13" i="137" s="1"/>
  <c r="B15" i="135"/>
  <c r="E38" i="117"/>
  <c r="E39" i="117"/>
  <c r="E40" i="117"/>
  <c r="E41" i="117"/>
  <c r="E42" i="117"/>
  <c r="E43" i="117"/>
  <c r="E44" i="117"/>
  <c r="E45" i="117"/>
  <c r="E37" i="117"/>
  <c r="H15" i="102"/>
  <c r="H17" i="134"/>
  <c r="F14" i="139"/>
  <c r="H11" i="101"/>
  <c r="H15" i="90"/>
  <c r="H17" i="16"/>
  <c r="H12" i="15"/>
  <c r="H13" i="83"/>
  <c r="H14" i="85"/>
  <c r="H13" i="86"/>
  <c r="G20" i="151" l="1"/>
  <c r="K20" i="151" s="1"/>
  <c r="H13" i="80"/>
  <c r="H16" i="75"/>
  <c r="H20" i="77"/>
  <c r="H38" i="74"/>
  <c r="H18" i="136"/>
  <c r="H22" i="132"/>
  <c r="H14" i="133"/>
  <c r="G12" i="147"/>
  <c r="H19" i="140"/>
  <c r="H22" i="126"/>
  <c r="H34" i="69"/>
  <c r="H8" i="112"/>
  <c r="H10" i="122"/>
  <c r="H13" i="123"/>
  <c r="H24" i="116"/>
  <c r="H6" i="115" s="1"/>
  <c r="H29" i="100"/>
  <c r="H23" i="95"/>
  <c r="H9" i="113"/>
  <c r="H18" i="65"/>
  <c r="H11" i="64"/>
  <c r="E11" i="118"/>
  <c r="E12" i="119"/>
  <c r="E12" i="120"/>
  <c r="F24" i="141"/>
  <c r="G41" i="151"/>
  <c r="K41" i="151" s="1"/>
  <c r="E24" i="79"/>
  <c r="E13" i="123"/>
  <c r="E34" i="69"/>
  <c r="D34" i="69"/>
  <c r="C34" i="69"/>
  <c r="B34" i="69"/>
  <c r="E11" i="64"/>
  <c r="D11" i="64"/>
  <c r="C11" i="64"/>
  <c r="B11" i="64"/>
  <c r="D12" i="119"/>
  <c r="G59" i="151" l="1"/>
  <c r="G58" i="151"/>
  <c r="C27" i="153"/>
  <c r="B27" i="153"/>
  <c r="D15" i="102"/>
  <c r="C15" i="102"/>
  <c r="B15" i="102"/>
  <c r="D17" i="134"/>
  <c r="C17" i="134"/>
  <c r="B17" i="134"/>
  <c r="D14" i="139"/>
  <c r="C14" i="139"/>
  <c r="B14" i="139"/>
  <c r="D11" i="101"/>
  <c r="C11" i="101"/>
  <c r="B11" i="101"/>
  <c r="D15" i="90"/>
  <c r="C15" i="90"/>
  <c r="B15" i="90"/>
  <c r="D17" i="16"/>
  <c r="C17" i="16"/>
  <c r="B17" i="16"/>
  <c r="D12" i="15"/>
  <c r="C12" i="15"/>
  <c r="B12" i="15"/>
  <c r="D13" i="83"/>
  <c r="C13" i="83"/>
  <c r="B13" i="83"/>
  <c r="D14" i="85"/>
  <c r="C14" i="85"/>
  <c r="B14" i="85"/>
  <c r="D16" i="135"/>
  <c r="C16" i="135"/>
  <c r="B16" i="135"/>
  <c r="D13" i="86"/>
  <c r="C13" i="86"/>
  <c r="B13" i="86"/>
  <c r="D27" i="88"/>
  <c r="C27" i="88"/>
  <c r="B27" i="88"/>
  <c r="D24" i="79"/>
  <c r="C24" i="79"/>
  <c r="B24" i="79"/>
  <c r="D13" i="80"/>
  <c r="C13" i="80"/>
  <c r="B13" i="80"/>
  <c r="D16" i="75"/>
  <c r="C16" i="75"/>
  <c r="B16" i="75"/>
  <c r="D20" i="77"/>
  <c r="C20" i="77"/>
  <c r="B20" i="77"/>
  <c r="D38" i="74"/>
  <c r="C38" i="74"/>
  <c r="B38" i="74"/>
  <c r="B18" i="136"/>
  <c r="B22" i="132"/>
  <c r="D14" i="133"/>
  <c r="C14" i="133"/>
  <c r="B14" i="133"/>
  <c r="C12" i="147"/>
  <c r="B12" i="147"/>
  <c r="D19" i="140"/>
  <c r="C19" i="140"/>
  <c r="B19" i="140"/>
  <c r="D33" i="125"/>
  <c r="C33" i="125"/>
  <c r="B33" i="125"/>
  <c r="D22" i="126"/>
  <c r="C22" i="126"/>
  <c r="B22" i="126"/>
  <c r="D8" i="112"/>
  <c r="C8" i="112"/>
  <c r="B8" i="112"/>
  <c r="D10" i="122"/>
  <c r="C10" i="122"/>
  <c r="B10" i="122"/>
  <c r="D13" i="123"/>
  <c r="C13" i="123"/>
  <c r="B13" i="123"/>
  <c r="D24" i="116"/>
  <c r="D6" i="115" s="1"/>
  <c r="C24" i="116"/>
  <c r="C6" i="115" s="1"/>
  <c r="C12" i="115" s="1"/>
  <c r="B24" i="116"/>
  <c r="B12" i="115"/>
  <c r="D29" i="100"/>
  <c r="C29" i="100"/>
  <c r="B29" i="100"/>
  <c r="D23" i="95"/>
  <c r="C23" i="95"/>
  <c r="B23" i="95"/>
  <c r="B24" i="67"/>
  <c r="D9" i="113"/>
  <c r="C9" i="113"/>
  <c r="B9" i="113"/>
  <c r="D18" i="65"/>
  <c r="C18" i="65"/>
  <c r="B18" i="65"/>
  <c r="C14" i="8" l="1"/>
  <c r="B14" i="8"/>
  <c r="D11" i="118"/>
  <c r="C11" i="118"/>
  <c r="B11" i="118"/>
  <c r="C12" i="119"/>
  <c r="B12" i="119"/>
  <c r="H12" i="120"/>
  <c r="D12" i="120"/>
  <c r="C12" i="120"/>
  <c r="B12" i="120"/>
  <c r="F9" i="105"/>
  <c r="F8" i="105"/>
  <c r="F6" i="105"/>
  <c r="F5" i="105"/>
  <c r="H6" i="105" l="1"/>
  <c r="I6" i="105"/>
  <c r="I9" i="105"/>
  <c r="H9" i="105"/>
  <c r="I5" i="105"/>
  <c r="H5" i="105"/>
  <c r="H8" i="105"/>
  <c r="I8" i="105"/>
  <c r="F11" i="105"/>
  <c r="E14" i="139"/>
  <c r="E14" i="85"/>
  <c r="E16" i="135"/>
  <c r="E13" i="86"/>
  <c r="E27" i="88"/>
  <c r="E38" i="74"/>
  <c r="E19" i="140"/>
  <c r="H12" i="119"/>
  <c r="H11" i="105" l="1"/>
  <c r="I11" i="105"/>
  <c r="E46" i="117"/>
  <c r="K42" i="151" l="1"/>
  <c r="K2" i="151"/>
  <c r="E40" i="151"/>
  <c r="F13" i="151"/>
  <c r="F14" i="151"/>
  <c r="F11" i="151"/>
  <c r="F9" i="151"/>
  <c r="F8" i="151"/>
  <c r="F4" i="151"/>
  <c r="F17" i="151"/>
  <c r="F33" i="151" l="1"/>
  <c r="G40" i="151"/>
  <c r="E17" i="151"/>
  <c r="G17" i="151" s="1"/>
  <c r="K17" i="151" s="1"/>
  <c r="E4" i="151"/>
  <c r="E8" i="151"/>
  <c r="G8" i="151" s="1"/>
  <c r="K8" i="151" s="1"/>
  <c r="E9" i="151"/>
  <c r="G9" i="151" s="1"/>
  <c r="K9" i="151" s="1"/>
  <c r="E11" i="151"/>
  <c r="G11" i="151" s="1"/>
  <c r="K11" i="151" s="1"/>
  <c r="E14" i="151"/>
  <c r="G14" i="151" s="1"/>
  <c r="K14" i="151" s="1"/>
  <c r="E13" i="151"/>
  <c r="G13" i="151" s="1"/>
  <c r="K13" i="151" s="1"/>
  <c r="K12" i="151"/>
  <c r="K40" i="151" l="1"/>
  <c r="K45" i="151" s="1"/>
  <c r="H14" i="153" s="1"/>
  <c r="E33" i="151"/>
  <c r="G4" i="151"/>
  <c r="G33" i="151" s="1"/>
  <c r="G56" i="151" l="1"/>
  <c r="K4" i="151"/>
  <c r="K33" i="151" s="1"/>
  <c r="K37" i="151" s="1"/>
  <c r="K47" i="151" s="1"/>
  <c r="H13" i="153" l="1"/>
  <c r="I13" i="153"/>
  <c r="G55" i="151"/>
  <c r="D24" i="141"/>
  <c r="F33" i="105" l="1"/>
  <c r="G64" i="151"/>
  <c r="H24" i="153" s="1"/>
  <c r="H4" i="153"/>
  <c r="E15" i="102"/>
  <c r="E11" i="101"/>
  <c r="I33" i="105" l="1"/>
  <c r="H33" i="105"/>
  <c r="H27" i="153"/>
  <c r="F32" i="105" s="1"/>
  <c r="G50" i="151"/>
  <c r="G65" i="151" s="1"/>
  <c r="G66" i="151" s="1"/>
  <c r="G27" i="153"/>
  <c r="E16" i="75"/>
  <c r="E14" i="133"/>
  <c r="I32" i="105" l="1"/>
  <c r="H32" i="105"/>
  <c r="E33" i="125"/>
  <c r="E22" i="126"/>
  <c r="E29" i="100"/>
  <c r="I36" i="128" l="1"/>
  <c r="G37" i="128"/>
  <c r="F37" i="128"/>
  <c r="D37" i="128"/>
  <c r="B37" i="128"/>
  <c r="C35" i="128"/>
  <c r="I35" i="128" s="1"/>
  <c r="I27" i="128"/>
  <c r="H31" i="128" l="1"/>
  <c r="H30" i="128"/>
  <c r="H29" i="128"/>
  <c r="H28" i="128"/>
  <c r="H25" i="128"/>
  <c r="H24" i="128"/>
  <c r="H23" i="128"/>
  <c r="H22" i="128"/>
  <c r="H21" i="128"/>
  <c r="H20" i="128"/>
  <c r="H19" i="128"/>
  <c r="H18" i="128"/>
  <c r="H17" i="128"/>
  <c r="H16" i="128"/>
  <c r="H15" i="128"/>
  <c r="H14" i="128"/>
  <c r="H7" i="128"/>
  <c r="H12" i="128"/>
  <c r="H5" i="128"/>
  <c r="H10" i="128"/>
  <c r="H13" i="128"/>
  <c r="H8" i="128"/>
  <c r="H6" i="128"/>
  <c r="H11" i="128"/>
  <c r="H9" i="128"/>
  <c r="H4" i="128"/>
  <c r="H3" i="128"/>
  <c r="H2" i="128"/>
  <c r="H37" i="128" s="1"/>
  <c r="E34" i="128"/>
  <c r="E33" i="128"/>
  <c r="E32" i="128"/>
  <c r="E31" i="128"/>
  <c r="E30" i="128"/>
  <c r="E29" i="128"/>
  <c r="E28" i="128"/>
  <c r="C32" i="128"/>
  <c r="I32" i="128" s="1"/>
  <c r="E26" i="128"/>
  <c r="E25" i="128"/>
  <c r="E24" i="128"/>
  <c r="E22" i="128"/>
  <c r="E21" i="128"/>
  <c r="E23" i="128"/>
  <c r="E20" i="128"/>
  <c r="E19" i="128"/>
  <c r="E18" i="128"/>
  <c r="E17" i="128"/>
  <c r="E16" i="128"/>
  <c r="E15" i="128"/>
  <c r="E14" i="128"/>
  <c r="E7" i="128"/>
  <c r="E12" i="128"/>
  <c r="E5" i="128"/>
  <c r="E10" i="128"/>
  <c r="E13" i="128"/>
  <c r="E8" i="128"/>
  <c r="E6" i="128"/>
  <c r="E11" i="128"/>
  <c r="E9" i="128"/>
  <c r="E4" i="128"/>
  <c r="E3" i="128"/>
  <c r="E2" i="128"/>
  <c r="C22" i="128"/>
  <c r="E37" i="128" l="1"/>
  <c r="I22" i="128"/>
  <c r="E8" i="112" l="1"/>
  <c r="H14" i="8"/>
  <c r="D14" i="8"/>
  <c r="D12" i="147" l="1"/>
  <c r="E10" i="122"/>
  <c r="E24" i="116"/>
  <c r="E23" i="95"/>
  <c r="E9" i="113"/>
  <c r="E18" i="65"/>
  <c r="H11" i="118"/>
  <c r="C24" i="141"/>
  <c r="C33" i="128" l="1"/>
  <c r="I33" i="128" s="1"/>
  <c r="C21" i="128"/>
  <c r="I21" i="128" s="1"/>
  <c r="E17" i="134" l="1"/>
  <c r="E15" i="90" l="1"/>
  <c r="E17" i="16"/>
  <c r="E12" i="15"/>
  <c r="E13" i="83"/>
  <c r="E13" i="80"/>
  <c r="E20" i="77"/>
  <c r="D12" i="115" l="1"/>
  <c r="C29" i="128" l="1"/>
  <c r="I29" i="128" s="1"/>
  <c r="C20" i="128"/>
  <c r="I20" i="128" s="1"/>
  <c r="C19" i="128"/>
  <c r="I19" i="128" s="1"/>
  <c r="C18" i="128"/>
  <c r="I18" i="128" s="1"/>
  <c r="E34" i="117"/>
  <c r="E28" i="117"/>
  <c r="E24" i="117"/>
  <c r="E16" i="117"/>
  <c r="E9" i="117"/>
  <c r="E48" i="117" l="1"/>
  <c r="I5" i="115" s="1"/>
  <c r="I12" i="115" s="1"/>
  <c r="F23" i="105" s="1"/>
  <c r="I23" i="105" l="1"/>
  <c r="H23" i="105"/>
  <c r="E12" i="115"/>
  <c r="H12" i="115"/>
  <c r="C8" i="128"/>
  <c r="I8" i="128" s="1"/>
  <c r="E24" i="141"/>
  <c r="C24" i="128"/>
  <c r="I24" i="128" s="1"/>
  <c r="C15" i="128"/>
  <c r="I15" i="128" s="1"/>
  <c r="C26" i="128"/>
  <c r="I26" i="128" s="1"/>
  <c r="C25" i="128"/>
  <c r="I25" i="128" s="1"/>
  <c r="C7" i="128"/>
  <c r="I7" i="128" s="1"/>
  <c r="C28" i="128"/>
  <c r="I28" i="128" s="1"/>
  <c r="C30" i="128"/>
  <c r="I30" i="128" s="1"/>
  <c r="C31" i="128"/>
  <c r="I31" i="128" s="1"/>
  <c r="C3" i="128"/>
  <c r="I3" i="128" s="1"/>
  <c r="C4" i="128"/>
  <c r="I4" i="128" s="1"/>
  <c r="C2" i="128"/>
  <c r="I2" i="128" s="1"/>
  <c r="C9" i="128"/>
  <c r="I9" i="128" s="1"/>
  <c r="C6" i="128"/>
  <c r="I6" i="128" s="1"/>
  <c r="C11" i="128"/>
  <c r="I11" i="128" s="1"/>
  <c r="C13" i="128"/>
  <c r="I13" i="128" s="1"/>
  <c r="C12" i="128"/>
  <c r="I12" i="128" s="1"/>
  <c r="C10" i="128"/>
  <c r="I10" i="128" s="1"/>
  <c r="C5" i="128"/>
  <c r="I5" i="128" s="1"/>
  <c r="C14" i="128"/>
  <c r="I14" i="128" s="1"/>
  <c r="C16" i="128"/>
  <c r="I16" i="128" s="1"/>
  <c r="C17" i="128"/>
  <c r="I17" i="128" s="1"/>
  <c r="C23" i="128"/>
  <c r="I23" i="128" s="1"/>
  <c r="C34" i="128"/>
  <c r="I34" i="128" s="1"/>
  <c r="F54" i="105" l="1"/>
  <c r="C37" i="128"/>
  <c r="I37" i="128"/>
  <c r="C38" i="128"/>
  <c r="F57" i="105" l="1"/>
  <c r="I54" i="105"/>
  <c r="H54" i="105"/>
</calcChain>
</file>

<file path=xl/sharedStrings.xml><?xml version="1.0" encoding="utf-8"?>
<sst xmlns="http://schemas.openxmlformats.org/spreadsheetml/2006/main" count="1157" uniqueCount="851">
  <si>
    <t>Anti-virus annual renewal - Trend Micro</t>
  </si>
  <si>
    <t>Class B Foam (32, 5 gall @ 70)</t>
  </si>
  <si>
    <t>HazMat equipment and supplies</t>
  </si>
  <si>
    <t>AED Equipment- Batteries, Pads, Razors, Cards, Etc.</t>
  </si>
  <si>
    <t>Air Filters (both stations)</t>
  </si>
  <si>
    <t>Street reflective markers</t>
  </si>
  <si>
    <t>Street reflective marker epoxy</t>
  </si>
  <si>
    <t>Hydrant maintenance supplies</t>
  </si>
  <si>
    <t>Plans examiners</t>
  </si>
  <si>
    <t>Testing equipment</t>
  </si>
  <si>
    <t>Patches</t>
  </si>
  <si>
    <t>Ball Caps</t>
  </si>
  <si>
    <t>RECRUITMENT/PROMOTION</t>
  </si>
  <si>
    <t>Hiring Process:</t>
  </si>
  <si>
    <t>Equipment and Supplies</t>
  </si>
  <si>
    <t>ILS Kits to include medical bag &amp; supplies</t>
  </si>
  <si>
    <t>Stationery supplies</t>
  </si>
  <si>
    <t>Promotions:</t>
  </si>
  <si>
    <t>Stationery/supplies</t>
  </si>
  <si>
    <t>Special Operations Training - aerial, advanced IMS</t>
  </si>
  <si>
    <t>Sales Tax Revenue - gross</t>
  </si>
  <si>
    <t>Fee charges by comptroller's office - 2%</t>
  </si>
  <si>
    <t>Paychex regular processing fees *</t>
  </si>
  <si>
    <t>Grant Cost share</t>
  </si>
  <si>
    <t>GRANT MATCHING</t>
  </si>
  <si>
    <t>International Assn. Arson Investigators</t>
  </si>
  <si>
    <t>For Interlocal Service agreement with TCESD9</t>
  </si>
  <si>
    <t>CONTRACT SERVICES</t>
  </si>
  <si>
    <t>Certification</t>
  </si>
  <si>
    <t>HazMat Tech</t>
  </si>
  <si>
    <t>HazMat Team Member</t>
  </si>
  <si>
    <t>Fire Investigator</t>
  </si>
  <si>
    <t>Fire Inspector</t>
  </si>
  <si>
    <t>EMT-Intermediate</t>
  </si>
  <si>
    <t>Intermediate FF</t>
  </si>
  <si>
    <t>Advanced FF</t>
  </si>
  <si>
    <t>Master FF</t>
  </si>
  <si>
    <t>Lawn Care Supplies (Weed Killer, Trash bags,  Lawn Tools)</t>
  </si>
  <si>
    <t>Causes &amp; suits etc. - estimate</t>
  </si>
  <si>
    <t>Loan repayment</t>
  </si>
  <si>
    <t>Employee &amp; Member Recognition</t>
  </si>
  <si>
    <t>TAFC/TAFE</t>
  </si>
  <si>
    <t>Workers' Comp - Volunteers (7704V)</t>
  </si>
  <si>
    <t>Base Pay Rate:</t>
  </si>
  <si>
    <t>Longevity Pay Basis:</t>
  </si>
  <si>
    <t>Longevity Pay:</t>
  </si>
  <si>
    <t xml:space="preserve">Hourly Increment:  </t>
  </si>
  <si>
    <t xml:space="preserve">Total Hourly Longevity:  </t>
  </si>
  <si>
    <t>PROTECTIVE GEAR  WORKSHEET</t>
  </si>
  <si>
    <t>Salaries</t>
  </si>
  <si>
    <t>Year</t>
  </si>
  <si>
    <t>Rate</t>
  </si>
  <si>
    <t>#PP</t>
  </si>
  <si>
    <t>Total hourly</t>
  </si>
  <si>
    <t>Basic firefighting:</t>
  </si>
  <si>
    <t>Unscheduled overtime</t>
  </si>
  <si>
    <t>Awards &amp; Recognition - general, includes medals &amp; pins</t>
  </si>
  <si>
    <t>Awards Banquet</t>
  </si>
  <si>
    <t>TOTAL FIREFIGHTING:</t>
  </si>
  <si>
    <t>TOTAL ADMIN:</t>
  </si>
  <si>
    <t>Total Salaries</t>
  </si>
  <si>
    <t>Benefits:</t>
  </si>
  <si>
    <t>Employer FICA taxes - all</t>
  </si>
  <si>
    <t>460,70,71</t>
  </si>
  <si>
    <t>Fees - Academy, EMS course, training</t>
  </si>
  <si>
    <t>Emergency Prevention</t>
  </si>
  <si>
    <t>477, 80</t>
  </si>
  <si>
    <t>Grants &amp; donations</t>
  </si>
  <si>
    <t>Misc., WC, sales of property</t>
  </si>
  <si>
    <t>Facilities &amp; Personnel Certification</t>
  </si>
  <si>
    <t>Mileage reimbursement (by federal rate)</t>
  </si>
  <si>
    <t>Total benefits</t>
  </si>
  <si>
    <t>Total pay and benefits</t>
  </si>
  <si>
    <t>Wells Fargo Bank - engines (March)*</t>
  </si>
  <si>
    <t>UOT</t>
  </si>
  <si>
    <t>ICC - inspections</t>
  </si>
  <si>
    <t>Radio batteries, parts &amp; maintenance</t>
  </si>
  <si>
    <t>Semi-Annual, COA Dispatching</t>
  </si>
  <si>
    <t>MDC Software licenses and related support</t>
  </si>
  <si>
    <t>Property Tax - misc</t>
  </si>
  <si>
    <t>Facility rental - rooms</t>
  </si>
  <si>
    <t>Facility rental - tower</t>
  </si>
  <si>
    <t>Emergency Prevention (formerly Code Enforcement)</t>
  </si>
  <si>
    <t>Miscellaneous</t>
  </si>
  <si>
    <t>Workers Comp/insurance payments</t>
  </si>
  <si>
    <t>Sale of property</t>
  </si>
  <si>
    <t>410/1</t>
  </si>
  <si>
    <t>410/2</t>
  </si>
  <si>
    <t>410/3</t>
  </si>
  <si>
    <t>Property tax - prior year</t>
  </si>
  <si>
    <t>Sales Tax</t>
  </si>
  <si>
    <t>Rescue tools preventive maintenance</t>
  </si>
  <si>
    <t xml:space="preserve">Ansul System Semi-Annual Inspection </t>
  </si>
  <si>
    <t>DSHS re-certifications</t>
  </si>
  <si>
    <t xml:space="preserve">Fire Alarm Annual Inspection </t>
  </si>
  <si>
    <t xml:space="preserve">Fire Extinguisher Annual Inspection </t>
  </si>
  <si>
    <t>(07: D/O) Fire Instructor 2 &amp; 3 - tuition, books, fees</t>
  </si>
  <si>
    <t>Fire Officer 2 - shift training - tuition, books, fees **</t>
  </si>
  <si>
    <t xml:space="preserve">Property Tax Collection &amp; Valuation Fees </t>
  </si>
  <si>
    <t>Recruitment &amp; Promotion</t>
  </si>
  <si>
    <t>Prevention</t>
  </si>
  <si>
    <t>Gear repair and accessories</t>
  </si>
  <si>
    <t>Replace SCBA air bottles</t>
  </si>
  <si>
    <t>Replacement of Air Packs (incremental)</t>
  </si>
  <si>
    <t>Smoke Machine fluid</t>
  </si>
  <si>
    <t>Miscellaneous job postings</t>
  </si>
  <si>
    <t xml:space="preserve">AT&amp;T </t>
  </si>
  <si>
    <t xml:space="preserve">Stickers with Fire Department Logo </t>
  </si>
  <si>
    <t>Wireless Access for MDC's ($50 each month)</t>
  </si>
  <si>
    <t>Vehicle Maintenance &amp; Repairs</t>
  </si>
  <si>
    <t>SCBA mask disinfectant</t>
  </si>
  <si>
    <t>Apparatus annual pump certification</t>
  </si>
  <si>
    <t>Aerial and ground ladder testing</t>
  </si>
  <si>
    <t>TOTAL</t>
  </si>
  <si>
    <t>Fuel</t>
  </si>
  <si>
    <t>Alpha Pagers</t>
  </si>
  <si>
    <t>Telephone</t>
  </si>
  <si>
    <t>Utilities</t>
  </si>
  <si>
    <t>Postage/Handling</t>
  </si>
  <si>
    <t>Bank Fees</t>
  </si>
  <si>
    <t>Information Technology</t>
  </si>
  <si>
    <t>Sunset Valley Reimbursement</t>
  </si>
  <si>
    <t>TOTALS</t>
  </si>
  <si>
    <t xml:space="preserve"> </t>
  </si>
  <si>
    <t>Description</t>
  </si>
  <si>
    <t>GENERAL LIABILITY/PROPERTY</t>
  </si>
  <si>
    <t>Totals</t>
  </si>
  <si>
    <t>Bond Debt Service</t>
  </si>
  <si>
    <t>Overhead Door Repair</t>
  </si>
  <si>
    <t>A/C Service</t>
  </si>
  <si>
    <t>Exterminator</t>
  </si>
  <si>
    <t>Misc. Repairs</t>
  </si>
  <si>
    <t>Pump Maintenance</t>
  </si>
  <si>
    <t>FULL-TIME FIREFIGHTER</t>
  </si>
  <si>
    <t>Item</t>
  </si>
  <si>
    <t>#FF</t>
  </si>
  <si>
    <t>Quantity</t>
  </si>
  <si>
    <t xml:space="preserve">Cost </t>
  </si>
  <si>
    <t>Total</t>
  </si>
  <si>
    <t>Nomex Shirt</t>
  </si>
  <si>
    <t>Nomex Pants</t>
  </si>
  <si>
    <t>Polo Shirt</t>
  </si>
  <si>
    <t>PART-TIME FIGHTER</t>
  </si>
  <si>
    <t>OFFICE STAFF</t>
  </si>
  <si>
    <t>VOLUNTEER UNIFORMS</t>
  </si>
  <si>
    <t>Jackets</t>
  </si>
  <si>
    <t>Badges</t>
  </si>
  <si>
    <t>Quarterly Air Test</t>
  </si>
  <si>
    <t>Misc. SCBA Parts</t>
  </si>
  <si>
    <t>Semiannual Cascade Maintenance</t>
  </si>
  <si>
    <t>BP Cuffs, Splints &amp; Stethoscopes, Etc.</t>
  </si>
  <si>
    <t>Absorbent</t>
  </si>
  <si>
    <t xml:space="preserve">TOTAL </t>
  </si>
  <si>
    <t>Apparatus Fuel</t>
  </si>
  <si>
    <t xml:space="preserve">Capital Area Fire Chiefs Association  </t>
  </si>
  <si>
    <t>EMT Pants</t>
  </si>
  <si>
    <t>Nomex Shirts</t>
  </si>
  <si>
    <t>MISCELLANEOUS UNIFORM SUPPLIES</t>
  </si>
  <si>
    <t>Collar Brass</t>
  </si>
  <si>
    <t>Belts</t>
  </si>
  <si>
    <t>Ties</t>
  </si>
  <si>
    <t>Name Tags</t>
  </si>
  <si>
    <t>Supplies - Office</t>
  </si>
  <si>
    <t>Higher Class Pay</t>
  </si>
  <si>
    <t>Base</t>
  </si>
  <si>
    <t>Uniform &amp; Protective Gear</t>
  </si>
  <si>
    <t>Building &amp; Grounds Maintenance</t>
  </si>
  <si>
    <t>Benefits  (457, health, workers comp)</t>
  </si>
  <si>
    <t>Seminars &amp; Conferences</t>
  </si>
  <si>
    <t>Dues &amp; Subscriptions</t>
  </si>
  <si>
    <t>Sales Tax Collection Costs</t>
  </si>
  <si>
    <t>Supplies - Station</t>
  </si>
  <si>
    <t>Total:</t>
  </si>
  <si>
    <t>TOTAL:</t>
  </si>
  <si>
    <t>Total uniforms:</t>
  </si>
  <si>
    <t>Paychex 125 Plan fees</t>
  </si>
  <si>
    <t>Flowers - congrats, condolence, get well etc.</t>
  </si>
  <si>
    <t>Labeling machine supplies</t>
  </si>
  <si>
    <t>Copy paper</t>
  </si>
  <si>
    <t>Binders</t>
  </si>
  <si>
    <t>Other toners &amp; ink cartridges</t>
  </si>
  <si>
    <t>Break room &amp; janitorial</t>
  </si>
  <si>
    <t>Travis Central Appraisal District fees</t>
  </si>
  <si>
    <t>SCBA</t>
  </si>
  <si>
    <t>Training- Fire &amp; Rescue</t>
  </si>
  <si>
    <t>Fire Prevention Supplies</t>
  </si>
  <si>
    <t>Transmission Service</t>
  </si>
  <si>
    <t>Tires</t>
  </si>
  <si>
    <t>Emergency lighting</t>
  </si>
  <si>
    <t>From Uniform WS</t>
  </si>
  <si>
    <t>From Protective Gear WS</t>
  </si>
  <si>
    <t>Meals &amp; Refreshment</t>
  </si>
  <si>
    <t>Map Books</t>
  </si>
  <si>
    <t>Wildland hose</t>
  </si>
  <si>
    <t>Wildland nozzles</t>
  </si>
  <si>
    <t>Wildland tools &amp; accessories</t>
  </si>
  <si>
    <t>Adaptors and accessories</t>
  </si>
  <si>
    <t>APPARATUS PAYMENTS</t>
  </si>
  <si>
    <t>Professional Services</t>
  </si>
  <si>
    <t>Public Notices/Articles</t>
  </si>
  <si>
    <t>TCESD Board Compensation</t>
  </si>
  <si>
    <t xml:space="preserve">SCBA MAINTENANCE      </t>
  </si>
  <si>
    <t>Supplies</t>
  </si>
  <si>
    <t>BUILDING &amp; GROUND MAINTENANCE</t>
  </si>
  <si>
    <t>Principal</t>
  </si>
  <si>
    <t>Interest</t>
  </si>
  <si>
    <t>Social Security (FICA)</t>
  </si>
  <si>
    <t>Workers' Comp- -Firefighters  (7704)</t>
  </si>
  <si>
    <t>Workers' Comp - Clerical    (8810)</t>
  </si>
  <si>
    <t>Dispatch &amp; Communications</t>
  </si>
  <si>
    <t>Vehicle Supplies &amp; Equipment</t>
  </si>
  <si>
    <t xml:space="preserve">VEHICLE SUPPLIES &amp; EQUIPMENT       </t>
  </si>
  <si>
    <t>Public Education</t>
  </si>
  <si>
    <t>Debt Service 2003 bonds</t>
  </si>
  <si>
    <t>Debt service 2005 bonds</t>
  </si>
  <si>
    <t>Estimated annual charges</t>
  </si>
  <si>
    <t>Accounting consultant  - general</t>
  </si>
  <si>
    <t>Legal consultants - Fire Code</t>
  </si>
  <si>
    <t>Liquid smoke</t>
  </si>
  <si>
    <t>Vent simulator lumber</t>
  </si>
  <si>
    <t>Nozzles</t>
  </si>
  <si>
    <t xml:space="preserve">Salvage Covers </t>
  </si>
  <si>
    <t>Fire Hose 1 3/4", 3", 5"</t>
  </si>
  <si>
    <t>Landscape Maintenance BC</t>
  </si>
  <si>
    <t xml:space="preserve">Apparatus </t>
  </si>
  <si>
    <t>Property &amp; Liability Insurance</t>
  </si>
  <si>
    <t xml:space="preserve">AUTO INSURANCE              </t>
  </si>
  <si>
    <t>Donations</t>
  </si>
  <si>
    <t>Property Tax Revenue</t>
  </si>
  <si>
    <t xml:space="preserve">Interest </t>
  </si>
  <si>
    <t>Training fees</t>
  </si>
  <si>
    <t>Grants</t>
  </si>
  <si>
    <t>BUDGET EXPENSE CATEGORY</t>
  </si>
  <si>
    <t>Auto Insurance</t>
  </si>
  <si>
    <t>OPERATING SURPLUS (DEFICIT)</t>
  </si>
  <si>
    <t>FICA</t>
  </si>
  <si>
    <t>Office Mgr</t>
  </si>
  <si>
    <t>Medical</t>
  </si>
  <si>
    <t>Pay</t>
  </si>
  <si>
    <t>W.C.</t>
  </si>
  <si>
    <t>Other</t>
  </si>
  <si>
    <t>Captain</t>
  </si>
  <si>
    <t>Lieutenant</t>
  </si>
  <si>
    <t>Driver/Operator</t>
  </si>
  <si>
    <t>Firefighter</t>
  </si>
  <si>
    <t>AC</t>
  </si>
  <si>
    <t>Bus Mgr</t>
  </si>
  <si>
    <t xml:space="preserve">SFFMA </t>
  </si>
  <si>
    <t xml:space="preserve">Flyers/invitations - postage </t>
  </si>
  <si>
    <t>Certified mail</t>
  </si>
  <si>
    <t>Postage due</t>
  </si>
  <si>
    <t>Stamps</t>
  </si>
  <si>
    <t>Package mail</t>
  </si>
  <si>
    <t>Win2003 Cal upgrades and/or licenses</t>
  </si>
  <si>
    <t>Umbrella Liability</t>
  </si>
  <si>
    <t>These amounts are what will actually</t>
  </si>
  <si>
    <t>Travis County Tax Office fees</t>
  </si>
  <si>
    <t>Property</t>
  </si>
  <si>
    <t>Portable Equipment</t>
  </si>
  <si>
    <t>General Liability</t>
  </si>
  <si>
    <t>Management Liability</t>
  </si>
  <si>
    <t>Landscape Maintenance - CD</t>
  </si>
  <si>
    <t>Off-site facility - Shaw Lane &amp; others</t>
  </si>
  <si>
    <t>PPE - coats, pants, hoods, gloves, helmets, gear bags</t>
  </si>
  <si>
    <t>Uniforms - T-shirts, sweats, shorts @ $75</t>
  </si>
  <si>
    <t>Equipment - SCBA flow testing @ $50</t>
  </si>
  <si>
    <t>Equipment - rescue rope/webbing</t>
  </si>
  <si>
    <t>Books, overhead - student handbooks</t>
  </si>
  <si>
    <t>435, 450</t>
  </si>
  <si>
    <t>Facility &amp; room rental &amp; billing receipts</t>
  </si>
  <si>
    <t>Miscellaneous supplies</t>
  </si>
  <si>
    <t>Instructor textbooks</t>
  </si>
  <si>
    <t xml:space="preserve">Health etc. - employee TAC October and November </t>
  </si>
  <si>
    <t>Instruction - lead, associate, examiners avg. @ $25</t>
  </si>
  <si>
    <t>PPE - helmet replacement parts (10 shields), repair &amp; cleaning</t>
  </si>
  <si>
    <t>Equipment - fire extinguishers &amp; refills</t>
  </si>
  <si>
    <t>FIRE ACADEMY</t>
  </si>
  <si>
    <t>General Preventive Maintenance</t>
  </si>
  <si>
    <t>Apparatus &amp; Vehicle repairs</t>
  </si>
  <si>
    <t>Miscellaneous equipment and supplies</t>
  </si>
  <si>
    <t>Rescue equipment and supplies</t>
  </si>
  <si>
    <t>Swift water rescue equipment and accessories</t>
  </si>
  <si>
    <t>Structural and Wildland PPE repair and Cleaning</t>
  </si>
  <si>
    <t>Wells Fargo Bank  - drill tower (July) **</t>
  </si>
  <si>
    <t>Health etc. - employee TAC December - September **</t>
  </si>
  <si>
    <t>EMT CERTIFICATION COURSE</t>
  </si>
  <si>
    <t xml:space="preserve">Books - </t>
  </si>
  <si>
    <t>Updated training equipment</t>
  </si>
  <si>
    <t>Office Supplies</t>
  </si>
  <si>
    <t>Uniforms</t>
  </si>
  <si>
    <t>Advertising</t>
  </si>
  <si>
    <t xml:space="preserve">EMT-B </t>
  </si>
  <si>
    <t>EMS Certification School fees (2+ classes)</t>
  </si>
  <si>
    <t>Instructors: associate</t>
  </si>
  <si>
    <t>PPE repair</t>
  </si>
  <si>
    <t>Equipment  repair</t>
  </si>
  <si>
    <t xml:space="preserve">Equipment - miscellaneous </t>
  </si>
  <si>
    <t>Driver - Operator</t>
  </si>
  <si>
    <t xml:space="preserve">Hazardous Materials Tech </t>
  </si>
  <si>
    <t xml:space="preserve">Wildland Academy tuition </t>
  </si>
  <si>
    <t>Fire Instructor 1</t>
  </si>
  <si>
    <t>Specialized training</t>
  </si>
  <si>
    <t>Miscellaneous equipment &amp; supplies</t>
  </si>
  <si>
    <t>Live Fire</t>
  </si>
  <si>
    <t>PHTLS/ITLAS class</t>
  </si>
  <si>
    <t>EMS Conference</t>
  </si>
  <si>
    <t>TCFP Facility certifications</t>
  </si>
  <si>
    <t>DSHS First Responder Organization</t>
  </si>
  <si>
    <t>DSHS CE issuing organization</t>
  </si>
  <si>
    <t>DPS license renewals</t>
  </si>
  <si>
    <t>Replacement flags</t>
  </si>
  <si>
    <t>Safe-D Association</t>
  </si>
  <si>
    <t>Repairs; troubleshoot</t>
  </si>
  <si>
    <t>Annual Report</t>
  </si>
  <si>
    <t>off prob</t>
  </si>
  <si>
    <t>new hire</t>
  </si>
  <si>
    <t>at 53 hrs wk</t>
  </si>
  <si>
    <t>Mileage Reimbursement per Federal standard</t>
  </si>
  <si>
    <t xml:space="preserve">Oak Hill hosted CAFCA meeting </t>
  </si>
  <si>
    <t xml:space="preserve">Administrative Training/Seminars </t>
  </si>
  <si>
    <t>Fire Inspector CE training</t>
  </si>
  <si>
    <t>ICC Region 10 plan review for inspections</t>
  </si>
  <si>
    <t>Arson/Fire Cause Conference (TFIC)</t>
  </si>
  <si>
    <t>Miscellaneous (Notary etc.)</t>
  </si>
  <si>
    <t>Inspection / Investigation equipment</t>
  </si>
  <si>
    <t xml:space="preserve"> FT hire date</t>
  </si>
  <si>
    <t>DC Training</t>
  </si>
  <si>
    <t>Accident and normal death: $25,000 (VFIS)  FT Paid</t>
  </si>
  <si>
    <t xml:space="preserve">CD Environmental deposit </t>
  </si>
  <si>
    <t>Property tax - current year (will get approx. 99% of certified amount)</t>
  </si>
  <si>
    <t>Instruction hours @ $30 (incl. c/o $4,770)</t>
  </si>
  <si>
    <t>Annual</t>
  </si>
  <si>
    <t>at 40 hr. wk.</t>
  </si>
  <si>
    <t>Salaries cont'd</t>
  </si>
  <si>
    <t xml:space="preserve">Years of Service to TCESD3:  </t>
  </si>
  <si>
    <t>Sales Tax Revenue Consultant</t>
  </si>
  <si>
    <t>PREVENTION</t>
  </si>
  <si>
    <t>Principal &amp; Interest</t>
  </si>
  <si>
    <t xml:space="preserve">Full time employees 457 contribution </t>
  </si>
  <si>
    <r>
      <t xml:space="preserve">be paid out of the </t>
    </r>
    <r>
      <rPr>
        <u/>
        <sz val="10"/>
        <rFont val="Arial Narrow"/>
        <family val="2"/>
      </rPr>
      <t>Bond Debt Service Funds</t>
    </r>
  </si>
  <si>
    <t>3.89, 1.37, .90  2010</t>
  </si>
  <si>
    <t>0.48, 1.37, .90  2010</t>
  </si>
  <si>
    <t>5.16, 1.37, .90  2010</t>
  </si>
  <si>
    <t xml:space="preserve">Workers Comp - firefighters </t>
  </si>
  <si>
    <t>Workers Comp - volunteers</t>
  </si>
  <si>
    <t>Wellness program &amp; infectious disease control (10 based on history)</t>
  </si>
  <si>
    <t>ESD designated, COA serviced</t>
  </si>
  <si>
    <t>On Sunset Valley property</t>
  </si>
  <si>
    <r>
      <t xml:space="preserve">   UNIFORM WORKSHEET  </t>
    </r>
    <r>
      <rPr>
        <b/>
        <sz val="20"/>
        <rFont val="Arial"/>
        <family val="2"/>
      </rPr>
      <t/>
    </r>
  </si>
  <si>
    <t>Fire Officer 1</t>
  </si>
  <si>
    <t>Miscellaneous tools</t>
  </si>
  <si>
    <t>Number</t>
  </si>
  <si>
    <t>485, 87, 90, 99</t>
  </si>
  <si>
    <t>VENDING MACHINES</t>
  </si>
  <si>
    <t>Supplies for food and drink machines</t>
  </si>
  <si>
    <t>Vending machine supplies</t>
  </si>
  <si>
    <t>Reimbursements</t>
  </si>
  <si>
    <t>SF</t>
  </si>
  <si>
    <t>Sales tax</t>
  </si>
  <si>
    <t>Short Term disability - base x 31 FT</t>
  </si>
  <si>
    <t>Paychex delivery fees (4) plus  Lone Star</t>
  </si>
  <si>
    <t>SUI</t>
  </si>
  <si>
    <t>SUI - $110 x 32 plus $1,000 for sub-max hours PT</t>
  </si>
  <si>
    <t>Fees for Paychex, Section 125, gen processing, delivery</t>
  </si>
  <si>
    <t>3.33, 1.36, 0.85</t>
  </si>
  <si>
    <t>0.44, 1.36, 0.85</t>
  </si>
  <si>
    <t>5.68, 1.36, 0.85</t>
  </si>
  <si>
    <t>PP's</t>
  </si>
  <si>
    <t>Swift Water Tech 1 &amp; 2</t>
  </si>
  <si>
    <t>General Rescue</t>
  </si>
  <si>
    <t>Level 1 &amp; 2 ropes</t>
  </si>
  <si>
    <t>Truck company officer</t>
  </si>
  <si>
    <t>Rehab/hydration supplies</t>
  </si>
  <si>
    <t>Adjunct instructor</t>
  </si>
  <si>
    <t>Professional Association memberships</t>
  </si>
  <si>
    <t>FEMA Match (vehicle)</t>
  </si>
  <si>
    <t>Estimate 2011</t>
  </si>
  <si>
    <t>Central Texas Fire Investigators</t>
  </si>
  <si>
    <t>SOT x 26</t>
  </si>
  <si>
    <t>TML - return of equity from past years</t>
  </si>
  <si>
    <t>Family picnic</t>
  </si>
  <si>
    <t>TML return of equity from past years</t>
  </si>
  <si>
    <r>
      <t>Pay</t>
    </r>
    <r>
      <rPr>
        <sz val="10"/>
        <rFont val="Arial Narrow"/>
        <family val="2"/>
      </rPr>
      <t xml:space="preserve"> includes OT, boots and Cert Pay.  </t>
    </r>
    <r>
      <rPr>
        <u/>
        <sz val="10"/>
        <rFont val="Arial Narrow"/>
        <family val="2"/>
      </rPr>
      <t>Othe</t>
    </r>
    <r>
      <rPr>
        <sz val="10"/>
        <rFont val="Arial Narrow"/>
        <family val="2"/>
      </rPr>
      <t>r is wellness, fees, life, simply divided except for those excl. from wellness</t>
    </r>
  </si>
  <si>
    <t>new 0-yr FF</t>
  </si>
  <si>
    <t>Training PT</t>
  </si>
  <si>
    <t>Orevention PT</t>
  </si>
  <si>
    <t>EMS PT</t>
  </si>
  <si>
    <t>Annual WC &amp; Med credit</t>
  </si>
  <si>
    <t>Volunteers (20)</t>
  </si>
  <si>
    <t>9½% 457</t>
  </si>
  <si>
    <t>Part time ( 8)</t>
  </si>
  <si>
    <t>Variance estimate &amp; final</t>
  </si>
  <si>
    <t>{</t>
  </si>
  <si>
    <t>Code Enforce LT.</t>
  </si>
  <si>
    <t>6, 2-yr FF</t>
  </si>
  <si>
    <t>2, 1-yr FF</t>
  </si>
  <si>
    <t>Overbudgeted by $6,930</t>
  </si>
  <si>
    <t>DO P. Elkins</t>
  </si>
  <si>
    <t>Longevity</t>
  </si>
  <si>
    <t>Workers Com - instructors</t>
  </si>
  <si>
    <t xml:space="preserve">Based on recent usage </t>
  </si>
  <si>
    <t xml:space="preserve">Instructor Pay </t>
  </si>
  <si>
    <t>Workers Comp - admin</t>
  </si>
  <si>
    <t>Workers Comp - instructors</t>
  </si>
  <si>
    <t>632: 15,000, 634: 57,000, 635  16,500</t>
  </si>
  <si>
    <t>Red font:  do not participate in 457</t>
  </si>
  <si>
    <t>instructor pay</t>
  </si>
  <si>
    <t>Workers Comp - commissioners</t>
  </si>
  <si>
    <t>3.23, 1.07, 0.8</t>
  </si>
  <si>
    <t>0.44, 1.07, 0.8</t>
  </si>
  <si>
    <t>5.68, 1.07, 0.8</t>
  </si>
  <si>
    <t>0.43, 1.07, 0.8</t>
  </si>
  <si>
    <t>0.39, 1.07, 0.8</t>
  </si>
  <si>
    <t>Locution Station Alerting License &amp; Hardware maint.</t>
  </si>
  <si>
    <t>Sweatshirts</t>
  </si>
  <si>
    <t>Department team-sponsorship</t>
  </si>
  <si>
    <t>Septic inspection and maintenance CD</t>
  </si>
  <si>
    <t>AC filter grates for CD</t>
  </si>
  <si>
    <t>painting drill tower exterior handrails</t>
  </si>
  <si>
    <t>National Assoc. of EMS Educators (NAEMS)</t>
  </si>
  <si>
    <r>
      <t xml:space="preserve">Health Ins. - full time only - </t>
    </r>
    <r>
      <rPr>
        <sz val="9"/>
        <rFont val="Arial Narrow"/>
        <family val="2"/>
      </rPr>
      <t>32 employees</t>
    </r>
    <r>
      <rPr>
        <sz val="8"/>
        <rFont val="Arial Narrow"/>
        <family val="2"/>
      </rPr>
      <t xml:space="preserve"> (includes reimbursement from employees)</t>
    </r>
  </si>
  <si>
    <t>Revenue Rescue (&amp; other billing)</t>
  </si>
  <si>
    <t>hourly annual</t>
  </si>
  <si>
    <t>Repairs - miscellaneous PC/network</t>
  </si>
  <si>
    <t>Software - miscellaneous</t>
  </si>
  <si>
    <t>QuickBooks upgrade - Intuit</t>
  </si>
  <si>
    <t>Electricity - Barton Creek - COA</t>
  </si>
  <si>
    <t xml:space="preserve">Water - Barton Creek -TC MUD  </t>
  </si>
  <si>
    <t>Water - Circle Drive - COA</t>
  </si>
  <si>
    <t xml:space="preserve">Electricity - Circle Drive - PEC </t>
  </si>
  <si>
    <t>Estimate</t>
  </si>
  <si>
    <t>Estimate 2012</t>
  </si>
  <si>
    <t xml:space="preserve">Chief </t>
  </si>
  <si>
    <t xml:space="preserve">Estimate of part time </t>
  </si>
  <si>
    <t>per hour pay</t>
  </si>
  <si>
    <t>years</t>
  </si>
  <si>
    <t>Rate, experience modifier, discount</t>
  </si>
  <si>
    <t>do not change figures - they will change with payroll figures</t>
  </si>
  <si>
    <t>Texas SUI  @ $56.7 x 32+ allowance $2,186 for PT</t>
  </si>
  <si>
    <t>Accident &amp; Sickness &amp; life - VFIS/CAFCA</t>
  </si>
  <si>
    <t>figure will auto change with payroll</t>
  </si>
  <si>
    <t>DSHS EMS Coordinator</t>
  </si>
  <si>
    <t>JW</t>
  </si>
  <si>
    <t>Misc. grant matching (LCRA/PEC, Motorola, etc.)</t>
  </si>
  <si>
    <t>Trauma supplies</t>
  </si>
  <si>
    <t>EMS Training (advanced)</t>
  </si>
  <si>
    <t>FY 2012</t>
  </si>
  <si>
    <t>Volunteers based on approximately 1000 hours at $11.00 per hour</t>
  </si>
  <si>
    <t>C</t>
  </si>
  <si>
    <t>D</t>
  </si>
  <si>
    <t>Waste disposal - Allied Waste - Barton Creek</t>
  </si>
  <si>
    <t>Waste -  Texas Disposal - Circle Drive</t>
  </si>
  <si>
    <t>CAD to Records Management System interface</t>
  </si>
  <si>
    <t>Portable Cascade Hydro</t>
  </si>
  <si>
    <t>RIC Bags</t>
  </si>
  <si>
    <t>Budget Amendment</t>
  </si>
  <si>
    <t>Extrication Tool Replacement</t>
  </si>
  <si>
    <t>Business Manager</t>
  </si>
  <si>
    <t>Accountability tags</t>
  </si>
  <si>
    <t>Structural Boots</t>
  </si>
  <si>
    <t>Structural helmets face shields</t>
  </si>
  <si>
    <t>Structural Helmets with leather fronts</t>
  </si>
  <si>
    <t>Structural Nomex hoods</t>
  </si>
  <si>
    <t>Structural Turnout Coats</t>
  </si>
  <si>
    <t>Structural turnout gloves</t>
  </si>
  <si>
    <t>Structural Turnout Pants</t>
  </si>
  <si>
    <t>Structural Turnout suspenders</t>
  </si>
  <si>
    <t>Wildland Goggles</t>
  </si>
  <si>
    <t>Wildland Helmets</t>
  </si>
  <si>
    <t>Wildland Shelters</t>
  </si>
  <si>
    <t>Wildland Turnout Coats</t>
  </si>
  <si>
    <t>Wildland turnout gloves</t>
  </si>
  <si>
    <t>Wildland Turnout Pants</t>
  </si>
  <si>
    <t>Traffic Vests</t>
  </si>
  <si>
    <t>Based on recent usage</t>
  </si>
  <si>
    <t>SF, SB, RB</t>
  </si>
  <si>
    <t>Member/Commissioner Meetings</t>
  </si>
  <si>
    <t>CATRAC</t>
  </si>
  <si>
    <t>Postage / Certified mail costs</t>
  </si>
  <si>
    <t>IT consultant/contract services</t>
  </si>
  <si>
    <t>FEMA Match (training props and equipment)</t>
  </si>
  <si>
    <t>Hydrant band markers</t>
  </si>
  <si>
    <t>Fidelity (Crime) Bond</t>
  </si>
  <si>
    <t>State-Imposed Taxes, Surcharges, &amp; Fees</t>
  </si>
  <si>
    <t>Cell phones</t>
  </si>
  <si>
    <t>Debt Service 2013 bonds</t>
  </si>
  <si>
    <t>Fire Sprinkler Annual Inspection</t>
  </si>
  <si>
    <t>incl</t>
  </si>
  <si>
    <t>Fire Alarm monitoring</t>
  </si>
  <si>
    <t>VEHICLES  (includes apparatus)</t>
  </si>
  <si>
    <t>Records Management System expansion</t>
  </si>
  <si>
    <t>SOURCE OF REVENUE</t>
  </si>
  <si>
    <t>REVENUE</t>
  </si>
  <si>
    <t>Cert</t>
  </si>
  <si>
    <t>Long</t>
  </si>
  <si>
    <t>Wellness Program (Physicals &amp; Workout Equipment)</t>
  </si>
  <si>
    <t>moved to Office Supplies</t>
  </si>
  <si>
    <t>Assorted general supplies (Home Depot, Lowes)</t>
  </si>
  <si>
    <t>Fire Extinguisher re-charging for each station</t>
  </si>
  <si>
    <t>TriState Cleaning Supplies</t>
  </si>
  <si>
    <t>Vacuum cleaners</t>
  </si>
  <si>
    <t xml:space="preserve">Online Back-up </t>
  </si>
  <si>
    <t>Desktop Computer Replacements</t>
  </si>
  <si>
    <t>Travis County Clerk for ESD postings</t>
  </si>
  <si>
    <t>Drill Tower Annual Inspection</t>
  </si>
  <si>
    <t>Overhead Door PM Contract</t>
  </si>
  <si>
    <t>Payroll</t>
  </si>
  <si>
    <t>Fire Code Reference Books</t>
  </si>
  <si>
    <t>Oak Hill Business &amp; Professional Assoc (OHBPA)</t>
  </si>
  <si>
    <t>International Association Fire Chiefs</t>
  </si>
  <si>
    <t>Texas Fire Marshal's Association</t>
  </si>
  <si>
    <t>SCBA Replacement Packs</t>
  </si>
  <si>
    <t>Imperium Accoutability System</t>
  </si>
  <si>
    <t>Small equipment maintenance &amp; repair</t>
  </si>
  <si>
    <t>Convert Eng303 speedlays to Blitz Line</t>
  </si>
  <si>
    <t>Hose Trays for QNT302 hose bundles</t>
  </si>
  <si>
    <t>ICS Accountability System (Integrated SCBA)</t>
  </si>
  <si>
    <t>Upgrade TIC on Qnt302 and Eng303</t>
  </si>
  <si>
    <t>SUNSET VALLEY REIMBURSEMENT</t>
  </si>
  <si>
    <t xml:space="preserve">VEHICLE MAINTENANCE &amp; REPAIR      </t>
  </si>
  <si>
    <t>EMS SUPPLIES</t>
  </si>
  <si>
    <t>UNIFORMS &amp; PROTECTIVE GEAR</t>
  </si>
  <si>
    <t>Misc. Supplies- Penlights, Scissors, Etc.</t>
  </si>
  <si>
    <t>REHAB SUPPLIES</t>
  </si>
  <si>
    <t>FUEL</t>
  </si>
  <si>
    <t>DISPATCH &amp; COMMUNICATION</t>
  </si>
  <si>
    <t>ALPHA PAGERS</t>
  </si>
  <si>
    <t>SALES TAX COLLECTION COSTS</t>
  </si>
  <si>
    <t>TAX ASSESSMENT/COLLECTION FEES</t>
  </si>
  <si>
    <t>Swift water tech refresher</t>
  </si>
  <si>
    <t>NFA courses</t>
  </si>
  <si>
    <t>See TCFP</t>
  </si>
  <si>
    <t>Technical Rescue</t>
  </si>
  <si>
    <t>See Tech Res</t>
  </si>
  <si>
    <t>EMS Continuing Education</t>
  </si>
  <si>
    <t>See EMS CE</t>
  </si>
  <si>
    <t>Training Field Materials &amp; Supplies</t>
  </si>
  <si>
    <t>See Trng Fld</t>
  </si>
  <si>
    <t>FIRE &amp; RESCUE TRAINING</t>
  </si>
  <si>
    <t>SEMINARS &amp; CONFERENCES</t>
  </si>
  <si>
    <t>See Gear Rpr</t>
  </si>
  <si>
    <t>Drill Field Supplies (hay, propane, wood, etc.)</t>
  </si>
  <si>
    <t>EMPLOYEE &amp; MEMBER RECOGNITION</t>
  </si>
  <si>
    <t>FACILITIES &amp; PERSONNEL CERTS</t>
  </si>
  <si>
    <t>A/C Replacement (older units)</t>
  </si>
  <si>
    <t>Water quality pond maintenance (Station 301)</t>
  </si>
  <si>
    <t>OFFICE SUPPLIES</t>
  </si>
  <si>
    <t>STATION SUPPLIES</t>
  </si>
  <si>
    <t>BANK FEES</t>
  </si>
  <si>
    <t>DUES &amp; SUBSCRIPTIONS</t>
  </si>
  <si>
    <t>INFORMATION TECHNOLOGY</t>
  </si>
  <si>
    <t>POSTAGE</t>
  </si>
  <si>
    <t>PROPERTY &amp; LIABILITY INSURANCE</t>
  </si>
  <si>
    <t>PROFESSIONAL SERVICES</t>
  </si>
  <si>
    <t>PUBLIC NOTICES/ARTICLES</t>
  </si>
  <si>
    <t>TELEPHONES</t>
  </si>
  <si>
    <t>UTILITIES</t>
  </si>
  <si>
    <t>BOND DEBT SERVICE</t>
  </si>
  <si>
    <t>ESD COMMISSIONER COMPENSATION</t>
  </si>
  <si>
    <t>PUBLIC EDUCATION</t>
  </si>
  <si>
    <t>Fire Hydrant Inspection</t>
  </si>
  <si>
    <t>E-mail hosting</t>
  </si>
  <si>
    <t>Heat - Barton Creek - Natural Gas</t>
  </si>
  <si>
    <t>Heat &amp; Drill Field (Training) - Circle Drive - Propane</t>
  </si>
  <si>
    <t>Open House supplies</t>
  </si>
  <si>
    <t>US Bank - copiers</t>
  </si>
  <si>
    <t>Capital apparatus/equipment purchases ***</t>
  </si>
  <si>
    <t>Maintenance on Station Backup Generators</t>
  </si>
  <si>
    <t>Lawn Equipment (mowers and small equipment)</t>
  </si>
  <si>
    <t>Replacement Washer &amp; Dryer Equipment</t>
  </si>
  <si>
    <t>Maintenance on Ice Machines (both stations)</t>
  </si>
  <si>
    <t>Replace Day Room Equipment (both stations)</t>
  </si>
  <si>
    <t>Gas Monitor Maintenance Agreement</t>
  </si>
  <si>
    <t>Occupational Health Testing</t>
  </si>
  <si>
    <t>to Pub Ed</t>
  </si>
  <si>
    <t>Collar Microphones</t>
  </si>
  <si>
    <t>Vehicle Inspections &amp; Registrations</t>
  </si>
  <si>
    <t>Command Vehicle Slide Out Trays</t>
  </si>
  <si>
    <t>Gas Monitor</t>
  </si>
  <si>
    <t>Thermal Imaging Cameras</t>
  </si>
  <si>
    <t>Portable Monitors</t>
  </si>
  <si>
    <t>Highrise Conference</t>
  </si>
  <si>
    <t>Station 301 kitchen remodel</t>
  </si>
  <si>
    <t>Folding Water Tank</t>
  </si>
  <si>
    <t>Scout Project Support for Grounds Improvements</t>
  </si>
  <si>
    <t>PPE</t>
  </si>
  <si>
    <t>Capt R. Bergman</t>
  </si>
  <si>
    <t>TIFMAS Symposium</t>
  </si>
  <si>
    <t>JW, SB, JP</t>
  </si>
  <si>
    <t>Elected Official Bond (Treasurer)</t>
  </si>
  <si>
    <t>Community Event Mailer, 2 times per year</t>
  </si>
  <si>
    <t>Rescue / Extrication Gloves</t>
  </si>
  <si>
    <t>2020: Drill Tower Inspection ~$5,000</t>
  </si>
  <si>
    <t>Fire Sprinkler System Expansion</t>
  </si>
  <si>
    <t>General Supplies</t>
  </si>
  <si>
    <t>Internet Connectivity Hardware</t>
  </si>
  <si>
    <t>Phone System Interface</t>
  </si>
  <si>
    <t>Digital Desktop Phones (hardware)</t>
  </si>
  <si>
    <t>Phone Service (numbers plus talk time)</t>
  </si>
  <si>
    <t>Cable TV Service</t>
  </si>
  <si>
    <t>Internet &amp; Phone Connectivity</t>
  </si>
  <si>
    <t>Pancake Breakfast</t>
  </si>
  <si>
    <t>Quarterly Outreach Materials</t>
  </si>
  <si>
    <t>Engineer</t>
  </si>
  <si>
    <t>Fire Academy fees</t>
  </si>
  <si>
    <t>Pullover Response Pants</t>
  </si>
  <si>
    <t>Health Insurance - TAC credit</t>
  </si>
  <si>
    <t>DO C. Ford</t>
  </si>
  <si>
    <t>increase</t>
  </si>
  <si>
    <t>Capt A. Lyngaas</t>
  </si>
  <si>
    <t>Vending machines</t>
  </si>
  <si>
    <t>BENEFITS</t>
  </si>
  <si>
    <t>FF 2017</t>
  </si>
  <si>
    <t>DO 2017</t>
  </si>
  <si>
    <t>LT 2017</t>
  </si>
  <si>
    <t>CAP 2017</t>
  </si>
  <si>
    <t>i</t>
  </si>
  <si>
    <t>5 commissioners, 16 meetings</t>
  </si>
  <si>
    <t>*** 1 Replacement Engine</t>
  </si>
  <si>
    <t>EMT Certification Courses</t>
  </si>
  <si>
    <t>Fire Academy</t>
  </si>
  <si>
    <t>Rehab Supplies</t>
  </si>
  <si>
    <t>EMS Supplies</t>
  </si>
  <si>
    <t>Small office equipment (staplers, etc.)</t>
  </si>
  <si>
    <t>Miscellaneous Expendables (pens, staples, clips etc.)</t>
  </si>
  <si>
    <t>Training Division Supplies</t>
  </si>
  <si>
    <t>Fire &amp; EMT Academy Supplies</t>
  </si>
  <si>
    <t>Master's Degree</t>
  </si>
  <si>
    <t>Bachelor's Degree</t>
  </si>
  <si>
    <t>Associate's Degree</t>
  </si>
  <si>
    <t>Operational Rates of Pay</t>
  </si>
  <si>
    <t xml:space="preserve">Professional Development (Officers) </t>
  </si>
  <si>
    <t>Miscellaneous Seminars</t>
  </si>
  <si>
    <t>Fire Department Instructors' Conference (FDIC)</t>
  </si>
  <si>
    <t>T-Shirt</t>
  </si>
  <si>
    <t>T-Shirts</t>
  </si>
  <si>
    <t>Scott SCBA Mask with embedded TIC</t>
  </si>
  <si>
    <t>Blue Card Command Trng (Drivers, Officers, Chiefs)</t>
  </si>
  <si>
    <t>Building &amp; Props Refurbishment</t>
  </si>
  <si>
    <t>Admin Asst (PT)</t>
  </si>
  <si>
    <t>Modify TIFMAS Vehicle (brackets, etc.)</t>
  </si>
  <si>
    <t>Fire Hose Tester (pump)</t>
  </si>
  <si>
    <t>New Engine Equipment (Misc Tools &amp; Equipment)</t>
  </si>
  <si>
    <t>Motorola APX Multi-Band Portable Radios</t>
  </si>
  <si>
    <t>Administration fees - bond debt - Wells Fargo</t>
  </si>
  <si>
    <t>Audit - CPA</t>
  </si>
  <si>
    <t>Budgetary Estimate</t>
  </si>
  <si>
    <t>Debt Service Interest</t>
  </si>
  <si>
    <t>APX Mobile Radios (New ENG301, QNT302)</t>
  </si>
  <si>
    <t>Hourly Rate</t>
  </si>
  <si>
    <t>FF 2018</t>
  </si>
  <si>
    <t>DO 2018</t>
  </si>
  <si>
    <t>LT 2018</t>
  </si>
  <si>
    <t>CAP 2018</t>
  </si>
  <si>
    <t>LONGEVITY INCENTIVE - Effective 10/01/2018</t>
  </si>
  <si>
    <t>EMS Field Training Officer</t>
  </si>
  <si>
    <t>RH</t>
  </si>
  <si>
    <r>
      <t xml:space="preserve">Accident &amp; Sickness Insurance: CAFCA </t>
    </r>
    <r>
      <rPr>
        <u/>
        <sz val="11"/>
        <rFont val="Arial Narrow"/>
        <family val="2"/>
      </rPr>
      <t xml:space="preserve">Paid </t>
    </r>
    <r>
      <rPr>
        <sz val="11"/>
        <rFont val="Arial Narrow"/>
        <family val="2"/>
      </rPr>
      <t>(VFIS)**</t>
    </r>
  </si>
  <si>
    <r>
      <t xml:space="preserve">Accident &amp; Sickness Insurance: CAFCA </t>
    </r>
    <r>
      <rPr>
        <u/>
        <sz val="11"/>
        <rFont val="Arial Narrow"/>
        <family val="2"/>
      </rPr>
      <t>Vols</t>
    </r>
    <r>
      <rPr>
        <sz val="11"/>
        <rFont val="Arial Narrow"/>
        <family val="2"/>
      </rPr>
      <t xml:space="preserve"> (VFIS)</t>
    </r>
  </si>
  <si>
    <r>
      <t xml:space="preserve">SAFE-D </t>
    </r>
    <r>
      <rPr>
        <sz val="11"/>
        <rFont val="Arial Narrow"/>
        <family val="2"/>
      </rPr>
      <t>Conference</t>
    </r>
  </si>
  <si>
    <t>* lease completed March 2nd 2016</t>
  </si>
  <si>
    <t>** lease paid off early July 2016</t>
  </si>
  <si>
    <t>MDC Replacement (older units)</t>
  </si>
  <si>
    <t>Active 911 Alerting System</t>
  </si>
  <si>
    <t>Meeting Supplies - officers, admin, commissioners, etc.</t>
  </si>
  <si>
    <t>LODD Conference (online streaming)</t>
  </si>
  <si>
    <t>Website design &amp; maintenance</t>
  </si>
  <si>
    <t>CrewSense Online Scheduling System</t>
  </si>
  <si>
    <t>Email Spam Filter (Barracuda Essentials)</t>
  </si>
  <si>
    <t>Mobile Radios (Remaining Truck Replacements)</t>
  </si>
  <si>
    <t>TFCA Fire Chiefs Workshop</t>
  </si>
  <si>
    <t>Warehouse Club memberships</t>
  </si>
  <si>
    <t>TecGen Response Clothing</t>
  </si>
  <si>
    <t>Forcible Entry Prop</t>
  </si>
  <si>
    <t>Cascade System for ST302</t>
  </si>
  <si>
    <t>Apparatus Fire Extinguishers</t>
  </si>
  <si>
    <t>Replace manifold</t>
  </si>
  <si>
    <t>CHIEFS</t>
  </si>
  <si>
    <t>RH + 3 FTOs</t>
  </si>
  <si>
    <t>Live Fire PPE rental (cadets &amp; main instructors)</t>
  </si>
  <si>
    <t>Decontamination Equipment</t>
  </si>
  <si>
    <t>Aluminum Hose Bed</t>
  </si>
  <si>
    <t>Classroom Maintenance &amp; Equipment Replacement</t>
  </si>
  <si>
    <t>Wire charges / transfers</t>
  </si>
  <si>
    <t>Legal consultants - KC, JO</t>
  </si>
  <si>
    <t>LT K. Grieser</t>
  </si>
  <si>
    <t>DO A. Lee</t>
  </si>
  <si>
    <t>457 (b) Plan - full time employees only 14% (2:1)</t>
  </si>
  <si>
    <t>BC R. Hartigan</t>
  </si>
  <si>
    <t>BC J. Patton</t>
  </si>
  <si>
    <t>LT J. Ramsdell</t>
  </si>
  <si>
    <t>Training Coordinator (FT)</t>
  </si>
  <si>
    <t>50th Anniversary Items</t>
  </si>
  <si>
    <t>Automated External Defibrillators</t>
  </si>
  <si>
    <t>Newspaper Public Notices re Tax Rate Aug/Sep</t>
  </si>
  <si>
    <t>Pump Simulator</t>
  </si>
  <si>
    <t>Outdoor Dual-Sided Electronic Sign for Station 301</t>
  </si>
  <si>
    <t>Bat Chief</t>
  </si>
  <si>
    <t>BC 2017</t>
  </si>
  <si>
    <t>BC 2018</t>
  </si>
  <si>
    <t>N/A</t>
  </si>
  <si>
    <t>Approved FY2018 Budget</t>
  </si>
  <si>
    <t>Revenue to Expense Difference</t>
  </si>
  <si>
    <t>LT J. Martinez</t>
  </si>
  <si>
    <t>DO R. Lemke</t>
  </si>
  <si>
    <t>FF T. Koiro</t>
  </si>
  <si>
    <t>FF A. Hoffman</t>
  </si>
  <si>
    <t>FF R. vanHee</t>
  </si>
  <si>
    <t>FF R. Hensley</t>
  </si>
  <si>
    <t>FF W. Hunn</t>
  </si>
  <si>
    <t>FF S. Gay</t>
  </si>
  <si>
    <t>BC J. Torres</t>
  </si>
  <si>
    <t>Capt S. Barfield</t>
  </si>
  <si>
    <t>FF J. Raatz</t>
  </si>
  <si>
    <t>DO J. Beard</t>
  </si>
  <si>
    <t>FF S. Denner</t>
  </si>
  <si>
    <t>Trunked Radio User Fee @ $25.51 per radio/month</t>
  </si>
  <si>
    <t>Scott SCBA masks - 4 @ $275</t>
  </si>
  <si>
    <t>TCFP Certification Classes (Inst, Ofcr, D/O, etc)</t>
  </si>
  <si>
    <t>3 Officers</t>
  </si>
  <si>
    <t>5 Ops</t>
  </si>
  <si>
    <t>JW + 4 Ops</t>
  </si>
  <si>
    <t>IAFC Fire Rescue International Atlanta, GA 2019)</t>
  </si>
  <si>
    <t>5 Commissioners + JW</t>
  </si>
  <si>
    <t>3 Ops</t>
  </si>
  <si>
    <t>PPE - boots</t>
  </si>
  <si>
    <t>Short term disability for 33 FT Paid (Colonial)</t>
  </si>
  <si>
    <t>DO C. Montgomery</t>
  </si>
  <si>
    <t>FF 2019</t>
  </si>
  <si>
    <t>DO 2019</t>
  </si>
  <si>
    <t>LT 2019</t>
  </si>
  <si>
    <t>CAP 2019</t>
  </si>
  <si>
    <t>BC 2019</t>
  </si>
  <si>
    <t>Rescue Tech I</t>
  </si>
  <si>
    <t>Rescue Tech II</t>
  </si>
  <si>
    <t>Rescue Tech III</t>
  </si>
  <si>
    <t>Rescue Tech VI</t>
  </si>
  <si>
    <r>
      <rPr>
        <b/>
        <u/>
        <sz val="12"/>
        <rFont val="Arial"/>
        <family val="2"/>
      </rPr>
      <t>Shift</t>
    </r>
    <r>
      <rPr>
        <b/>
        <sz val="12"/>
        <rFont val="Arial"/>
        <family val="2"/>
      </rPr>
      <t xml:space="preserve"> rate per hour</t>
    </r>
  </si>
  <si>
    <r>
      <rPr>
        <b/>
        <u/>
        <sz val="12"/>
        <rFont val="Arial"/>
        <family val="2"/>
      </rPr>
      <t>Admin</t>
    </r>
    <r>
      <rPr>
        <b/>
        <sz val="12"/>
        <rFont val="Arial"/>
        <family val="2"/>
      </rPr>
      <t xml:space="preserve"> rate per hour</t>
    </r>
  </si>
  <si>
    <t>Fire Service Instructor I</t>
  </si>
  <si>
    <t>Fire Service Instructor II</t>
  </si>
  <si>
    <t>Fire Service Instructor III</t>
  </si>
  <si>
    <t>Approx. Based on current year instructor use; $25 Adjunct; $35 Lead</t>
  </si>
  <si>
    <t>Rescue Tech V</t>
  </si>
  <si>
    <t>National Registry Recertifications</t>
  </si>
  <si>
    <t>TCFP Initial Certifications (25@55)</t>
  </si>
  <si>
    <t>TCFP Annual certifications  (45 @ $55)</t>
  </si>
  <si>
    <t>Rehab</t>
  </si>
  <si>
    <t>Exterior Station and Building Painting</t>
  </si>
  <si>
    <t>Station lighting system replacement (LEDs) - FY2020</t>
  </si>
  <si>
    <t>Copy Machines - 1 per station</t>
  </si>
  <si>
    <t>Quickbooks Checks  (1000)</t>
  </si>
  <si>
    <t>JW, RH, JP, JT</t>
  </si>
  <si>
    <t>RH &amp; JS</t>
  </si>
  <si>
    <t>Patient Care Records Management System</t>
  </si>
  <si>
    <t>Fire Incident Records Management System</t>
  </si>
  <si>
    <t>Replacement Monitors</t>
  </si>
  <si>
    <t>Mobile Computing Hardware (EMS Reporting)</t>
  </si>
  <si>
    <t>Microsoft Office Software</t>
  </si>
  <si>
    <t>Small Taxing Unit General Election (Legislative)</t>
  </si>
  <si>
    <t>Printing (controlled burn forms, etc.)</t>
  </si>
  <si>
    <t>Fire Safety Bounce House</t>
  </si>
  <si>
    <t>Cylinder Hydro - 25 @ $35 each</t>
  </si>
  <si>
    <t>SCBA Mask Fit Test - 35 @ $30</t>
  </si>
  <si>
    <t>Annual SCBA Flow Test - 32 @ $44</t>
  </si>
  <si>
    <t>SCBA replacement bottles - 25 @ $1000 each</t>
  </si>
  <si>
    <t>Class A Foam - 2 x 55 gallon drums</t>
  </si>
  <si>
    <t>Training Buildings and Props *</t>
  </si>
  <si>
    <t>* 5th Story Burn Room construction, rapeling mounts, piping on aluminum hosebed</t>
  </si>
  <si>
    <t>Equipment - Breathing air cylinder hydrostatic testing (40 units)</t>
  </si>
  <si>
    <t>Instructor Shirts</t>
  </si>
  <si>
    <t>2019 Budget based on 30 students</t>
  </si>
  <si>
    <t>2019 Budget based on 35 students</t>
  </si>
  <si>
    <t>Roof Covering for Station 301 Deck</t>
  </si>
  <si>
    <t>Drill Field Maintenance *</t>
  </si>
  <si>
    <t>*Replacement of wall panels and insulation in burn building, smoke machine piping</t>
  </si>
  <si>
    <t>Construct Gear Storage Rooms at Staiton 301</t>
  </si>
  <si>
    <t>Replace Gear Washer at Station 302 and move to Station 301</t>
  </si>
  <si>
    <t>% of Revenue</t>
  </si>
  <si>
    <t>% Change</t>
  </si>
  <si>
    <t>$ Change</t>
  </si>
  <si>
    <t>Notes</t>
  </si>
  <si>
    <t>Adjusted to actual</t>
  </si>
  <si>
    <t>Reduction for Omni &amp; Pieous</t>
  </si>
  <si>
    <t>Radios purchased in FY18</t>
  </si>
  <si>
    <t>Response gear purchased in FY18</t>
  </si>
  <si>
    <t>New Records Management System(s)</t>
  </si>
  <si>
    <t>Election costs removed (Legislature)</t>
  </si>
  <si>
    <t>Purchase Fire Safety Bounce House</t>
  </si>
  <si>
    <t>JW, BCs, JS, HH</t>
  </si>
  <si>
    <t>NFPA Online (subscription)</t>
  </si>
  <si>
    <t>JW, BCs</t>
  </si>
  <si>
    <t>Reduced sales tax revenue</t>
  </si>
  <si>
    <t>Paint Downstairs Offices, Rooms, and Hallways at Staiton 302</t>
  </si>
  <si>
    <t>COA Barton Springs Zone Permit (Station 301)</t>
  </si>
  <si>
    <t>Higher Values</t>
  </si>
  <si>
    <t>Reducing pager count</t>
  </si>
  <si>
    <t>Purchase several replcement AEDs</t>
  </si>
  <si>
    <t>Adding rehab (cooling) equipment</t>
  </si>
  <si>
    <t>Replace gear washer, removed LED conversion</t>
  </si>
  <si>
    <t>Replace older cell phones</t>
  </si>
  <si>
    <t>RDO S. Caudle</t>
  </si>
  <si>
    <t>RDO D. Davis</t>
  </si>
  <si>
    <t>RDO J. Hester</t>
  </si>
  <si>
    <t>RDO G. Schmitz</t>
  </si>
  <si>
    <t>RDO L. Dawson</t>
  </si>
  <si>
    <t>RDO J. Napier</t>
  </si>
  <si>
    <t>RDO J. Bowen</t>
  </si>
  <si>
    <t>Pay Rate Adjustments plus 2.9% Cost of Living Increase</t>
  </si>
  <si>
    <t>Rescue Tech IV</t>
  </si>
  <si>
    <t>Approved FY2019 Budget</t>
  </si>
  <si>
    <t>Wittig</t>
  </si>
  <si>
    <t>x</t>
  </si>
  <si>
    <t>Van Hee</t>
  </si>
  <si>
    <t>Torres</t>
  </si>
  <si>
    <t>Schmitz</t>
  </si>
  <si>
    <t>Southall</t>
  </si>
  <si>
    <t>Ramsdell</t>
  </si>
  <si>
    <t>Raatz</t>
  </si>
  <si>
    <t>Patton</t>
  </si>
  <si>
    <t>Napier</t>
  </si>
  <si>
    <t>Montgomery</t>
  </si>
  <si>
    <t>Martinez</t>
  </si>
  <si>
    <t>Lyngaas</t>
  </si>
  <si>
    <t>Lemke</t>
  </si>
  <si>
    <t>Lee</t>
  </si>
  <si>
    <t>Koiro</t>
  </si>
  <si>
    <t>Hunn</t>
  </si>
  <si>
    <t>Hoffman</t>
  </si>
  <si>
    <t>Hester</t>
  </si>
  <si>
    <t>Hensley</t>
  </si>
  <si>
    <t>Hartigan</t>
  </si>
  <si>
    <t>Grieser</t>
  </si>
  <si>
    <t>Gay</t>
  </si>
  <si>
    <t>Ford</t>
  </si>
  <si>
    <t>Elkins</t>
  </si>
  <si>
    <t>Denner</t>
  </si>
  <si>
    <t>Dawson</t>
  </si>
  <si>
    <t>Davis</t>
  </si>
  <si>
    <t>Caudle</t>
  </si>
  <si>
    <t>Bowen</t>
  </si>
  <si>
    <t>Bergman</t>
  </si>
  <si>
    <t>Beard</t>
  </si>
  <si>
    <t>Barfield</t>
  </si>
  <si>
    <t>Vehicle Rescue Tech</t>
  </si>
  <si>
    <t>SAR</t>
  </si>
  <si>
    <t>Confined Space</t>
  </si>
  <si>
    <t>Swift Water</t>
  </si>
  <si>
    <t>Ropes 1 &amp;2</t>
  </si>
  <si>
    <t>General Rescuer</t>
  </si>
  <si>
    <t>Instructor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</si>
</sst>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m/d/yyyy;@"/>
    <numFmt numFmtId="167" formatCode="#,##0.0_);[Red]\(#,##0.0\)"/>
    <numFmt numFmtId="168" formatCode="0.0%"/>
  </numFmts>
  <fonts count="6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sz val="9"/>
      <name val="Arial"/>
      <family val="2"/>
    </font>
    <font>
      <sz val="9"/>
      <name val="Arial Narrow"/>
      <family val="2"/>
    </font>
    <font>
      <sz val="11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2"/>
      <name val="Arial Narrow"/>
      <family val="2"/>
    </font>
    <font>
      <b/>
      <sz val="11"/>
      <color indexed="12"/>
      <name val="Arial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u/>
      <sz val="10"/>
      <name val="Arial Narrow"/>
      <family val="2"/>
    </font>
    <font>
      <i/>
      <sz val="11"/>
      <name val="Arial Narrow"/>
      <family val="2"/>
    </font>
    <font>
      <b/>
      <sz val="9"/>
      <name val="Arial Narrow"/>
      <family val="2"/>
    </font>
    <font>
      <b/>
      <sz val="12"/>
      <color indexed="12"/>
      <name val="Arial Narrow"/>
      <family val="2"/>
    </font>
    <font>
      <u/>
      <sz val="11"/>
      <name val="Arial Narrow"/>
      <family val="2"/>
    </font>
    <font>
      <b/>
      <sz val="11"/>
      <color indexed="12"/>
      <name val="Arial Narrow"/>
      <family val="2"/>
    </font>
    <font>
      <sz val="11"/>
      <color indexed="12"/>
      <name val="Arial Narrow"/>
      <family val="2"/>
    </font>
    <font>
      <sz val="11"/>
      <color indexed="21"/>
      <name val="Arial Narrow"/>
      <family val="2"/>
    </font>
    <font>
      <sz val="11"/>
      <name val="Arial"/>
      <family val="2"/>
    </font>
    <font>
      <u val="doubleAccounting"/>
      <sz val="10"/>
      <name val="Arial"/>
      <family val="2"/>
    </font>
    <font>
      <sz val="11"/>
      <color indexed="8"/>
      <name val="Calibri"/>
      <family val="2"/>
    </font>
    <font>
      <b/>
      <sz val="14"/>
      <name val="Arial"/>
      <family val="2"/>
    </font>
    <font>
      <b/>
      <i/>
      <sz val="12"/>
      <name val="Arial Narrow"/>
      <family val="2"/>
    </font>
    <font>
      <i/>
      <sz val="10"/>
      <name val="Arial Narrow"/>
      <family val="2"/>
    </font>
    <font>
      <sz val="10"/>
      <color indexed="12"/>
      <name val="Arial Narrow"/>
      <family val="2"/>
    </font>
    <font>
      <b/>
      <sz val="11"/>
      <color indexed="17"/>
      <name val="Arial Narrow"/>
      <family val="2"/>
    </font>
    <font>
      <b/>
      <sz val="11"/>
      <color indexed="21"/>
      <name val="Arial Narrow"/>
      <family val="2"/>
    </font>
    <font>
      <u/>
      <sz val="11"/>
      <name val="Arial"/>
      <family val="2"/>
    </font>
    <font>
      <sz val="16"/>
      <name val="Arial Narrow"/>
      <family val="2"/>
    </font>
    <font>
      <b/>
      <sz val="10"/>
      <color indexed="12"/>
      <name val="Arial Narrow"/>
      <family val="2"/>
    </font>
    <font>
      <b/>
      <sz val="20"/>
      <name val="Arial"/>
      <family val="2"/>
    </font>
    <font>
      <sz val="10"/>
      <name val="Cambria"/>
      <family val="1"/>
    </font>
    <font>
      <u/>
      <sz val="10"/>
      <name val="Cambria"/>
      <family val="1"/>
    </font>
    <font>
      <i/>
      <sz val="10"/>
      <name val="Arial"/>
      <family val="2"/>
    </font>
    <font>
      <sz val="36"/>
      <name val="Arial"/>
      <family val="2"/>
    </font>
    <font>
      <b/>
      <sz val="10"/>
      <color theme="4"/>
      <name val="Arial Narrow"/>
      <family val="2"/>
    </font>
    <font>
      <sz val="14"/>
      <name val="Arial Narrow"/>
      <family val="2"/>
    </font>
    <font>
      <strike/>
      <sz val="10"/>
      <name val="Arial Narrow"/>
      <family val="2"/>
    </font>
    <font>
      <sz val="10"/>
      <color rgb="FFFF0000"/>
      <name val="Arial Narrow"/>
      <family val="2"/>
    </font>
    <font>
      <b/>
      <sz val="10"/>
      <color rgb="FFFF0000"/>
      <name val="Arial Narrow"/>
      <family val="2"/>
    </font>
    <font>
      <b/>
      <sz val="10"/>
      <color rgb="FF0070C0"/>
      <name val="Arial Narrow"/>
      <family val="2"/>
    </font>
    <font>
      <sz val="36"/>
      <name val="Arial Narrow"/>
      <family val="2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u val="singleAccounting"/>
      <sz val="11"/>
      <name val="Arial Narrow"/>
      <family val="2"/>
    </font>
    <font>
      <b/>
      <sz val="11"/>
      <color rgb="FF0070C0"/>
      <name val="Arial Narrow"/>
      <family val="2"/>
    </font>
    <font>
      <b/>
      <u/>
      <sz val="11"/>
      <name val="Arial Narrow"/>
      <family val="2"/>
    </font>
    <font>
      <b/>
      <u/>
      <sz val="12"/>
      <name val="Arial"/>
      <family val="2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gray0625"/>
    </fill>
    <fill>
      <patternFill patternType="solid">
        <fgColor indexed="47"/>
        <bgColor indexed="64"/>
      </patternFill>
    </fill>
    <fill>
      <patternFill patternType="gray0625"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3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7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32" fillId="0" borderId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</cellStyleXfs>
  <cellXfs count="1055">
    <xf numFmtId="0" fontId="0" fillId="0" borderId="0" xfId="0"/>
    <xf numFmtId="0" fontId="5" fillId="0" borderId="0" xfId="0" applyFont="1" applyBorder="1"/>
    <xf numFmtId="0" fontId="6" fillId="0" borderId="0" xfId="0" applyFont="1" applyBorder="1"/>
    <xf numFmtId="0" fontId="5" fillId="0" borderId="0" xfId="0" applyFont="1" applyBorder="1" applyAlignment="1">
      <alignment horizontal="center"/>
    </xf>
    <xf numFmtId="44" fontId="5" fillId="0" borderId="0" xfId="1" applyFont="1" applyBorder="1"/>
    <xf numFmtId="0" fontId="5" fillId="0" borderId="0" xfId="0" applyFont="1"/>
    <xf numFmtId="0" fontId="8" fillId="0" borderId="0" xfId="0" applyFont="1" applyBorder="1"/>
    <xf numFmtId="0" fontId="6" fillId="0" borderId="0" xfId="0" applyFont="1"/>
    <xf numFmtId="4" fontId="5" fillId="0" borderId="0" xfId="0" applyNumberFormat="1" applyFont="1" applyFill="1"/>
    <xf numFmtId="44" fontId="5" fillId="0" borderId="0" xfId="1" applyFont="1"/>
    <xf numFmtId="0" fontId="6" fillId="0" borderId="0" xfId="0" applyFont="1" applyAlignment="1">
      <alignment horizontal="center"/>
    </xf>
    <xf numFmtId="0" fontId="0" fillId="0" borderId="0" xfId="0" applyBorder="1"/>
    <xf numFmtId="0" fontId="5" fillId="0" borderId="0" xfId="0" applyFont="1" applyFill="1"/>
    <xf numFmtId="0" fontId="0" fillId="0" borderId="0" xfId="0" applyAlignment="1">
      <alignment wrapText="1"/>
    </xf>
    <xf numFmtId="0" fontId="4" fillId="0" borderId="0" xfId="0" applyFont="1" applyBorder="1" applyAlignment="1">
      <alignment horizontal="center"/>
    </xf>
    <xf numFmtId="44" fontId="4" fillId="0" borderId="0" xfId="1" applyFont="1" applyBorder="1"/>
    <xf numFmtId="44" fontId="0" fillId="0" borderId="0" xfId="0" applyNumberFormat="1"/>
    <xf numFmtId="0" fontId="13" fillId="0" borderId="0" xfId="0" applyFont="1" applyBorder="1" applyAlignment="1">
      <alignment horizontal="left"/>
    </xf>
    <xf numFmtId="0" fontId="0" fillId="0" borderId="0" xfId="0" quotePrefix="1"/>
    <xf numFmtId="0" fontId="21" fillId="0" borderId="0" xfId="0" applyFont="1" applyFill="1" applyBorder="1" applyAlignment="1">
      <alignment horizontal="center" wrapText="1"/>
    </xf>
    <xf numFmtId="0" fontId="21" fillId="0" borderId="0" xfId="0" applyFont="1" applyAlignment="1">
      <alignment wrapText="1"/>
    </xf>
    <xf numFmtId="0" fontId="9" fillId="0" borderId="13" xfId="0" applyFont="1" applyFill="1" applyBorder="1" applyAlignment="1">
      <alignment horizontal="left"/>
    </xf>
    <xf numFmtId="0" fontId="22" fillId="0" borderId="0" xfId="0" applyFont="1" applyBorder="1"/>
    <xf numFmtId="44" fontId="5" fillId="0" borderId="16" xfId="1" applyFont="1" applyBorder="1"/>
    <xf numFmtId="0" fontId="10" fillId="0" borderId="0" xfId="0" applyFont="1"/>
    <xf numFmtId="0" fontId="0" fillId="0" borderId="0" xfId="0" applyNumberFormat="1" applyAlignment="1">
      <alignment horizontal="center"/>
    </xf>
    <xf numFmtId="0" fontId="16" fillId="0" borderId="0" xfId="0" applyFont="1" applyBorder="1"/>
    <xf numFmtId="0" fontId="13" fillId="0" borderId="0" xfId="0" applyFont="1" applyBorder="1"/>
    <xf numFmtId="44" fontId="13" fillId="0" borderId="0" xfId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5" fillId="0" borderId="16" xfId="0" applyFont="1" applyBorder="1"/>
    <xf numFmtId="0" fontId="5" fillId="0" borderId="16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44" fontId="16" fillId="0" borderId="16" xfId="1" applyFont="1" applyBorder="1"/>
    <xf numFmtId="0" fontId="13" fillId="0" borderId="1" xfId="0" applyFont="1" applyBorder="1" applyAlignment="1">
      <alignment horizontal="left"/>
    </xf>
    <xf numFmtId="0" fontId="10" fillId="0" borderId="1" xfId="0" applyFont="1" applyBorder="1"/>
    <xf numFmtId="44" fontId="13" fillId="0" borderId="16" xfId="1" applyFont="1" applyBorder="1" applyAlignment="1">
      <alignment horizontal="left"/>
    </xf>
    <xf numFmtId="0" fontId="18" fillId="0" borderId="20" xfId="0" applyFont="1" applyBorder="1" applyAlignment="1">
      <alignment horizontal="center"/>
    </xf>
    <xf numFmtId="0" fontId="13" fillId="0" borderId="20" xfId="0" applyFont="1" applyBorder="1" applyAlignment="1"/>
    <xf numFmtId="0" fontId="13" fillId="0" borderId="20" xfId="0" applyFont="1" applyBorder="1" applyAlignment="1">
      <alignment horizontal="left"/>
    </xf>
    <xf numFmtId="4" fontId="13" fillId="0" borderId="0" xfId="0" applyNumberFormat="1" applyFont="1" applyBorder="1"/>
    <xf numFmtId="0" fontId="18" fillId="0" borderId="16" xfId="0" applyFont="1" applyBorder="1" applyAlignment="1">
      <alignment horizontal="center"/>
    </xf>
    <xf numFmtId="44" fontId="13" fillId="0" borderId="16" xfId="0" applyNumberFormat="1" applyFont="1" applyBorder="1" applyAlignment="1">
      <alignment horizontal="center"/>
    </xf>
    <xf numFmtId="44" fontId="13" fillId="0" borderId="19" xfId="0" applyNumberFormat="1" applyFont="1" applyBorder="1" applyAlignment="1">
      <alignment horizontal="center"/>
    </xf>
    <xf numFmtId="44" fontId="13" fillId="0" borderId="21" xfId="0" applyNumberFormat="1" applyFont="1" applyBorder="1" applyAlignment="1">
      <alignment horizontal="center"/>
    </xf>
    <xf numFmtId="44" fontId="13" fillId="0" borderId="0" xfId="1" applyFont="1" applyBorder="1"/>
    <xf numFmtId="0" fontId="18" fillId="0" borderId="0" xfId="0" applyFont="1" applyBorder="1"/>
    <xf numFmtId="0" fontId="13" fillId="0" borderId="22" xfId="0" applyFont="1" applyBorder="1" applyAlignment="1">
      <alignment horizontal="left"/>
    </xf>
    <xf numFmtId="44" fontId="13" fillId="0" borderId="16" xfId="1" applyFont="1" applyBorder="1" applyAlignment="1">
      <alignment horizontal="center"/>
    </xf>
    <xf numFmtId="44" fontId="13" fillId="0" borderId="16" xfId="1" applyFont="1" applyBorder="1"/>
    <xf numFmtId="44" fontId="13" fillId="0" borderId="19" xfId="1" applyFont="1" applyBorder="1" applyAlignment="1">
      <alignment horizontal="left"/>
    </xf>
    <xf numFmtId="0" fontId="16" fillId="0" borderId="16" xfId="0" applyFont="1" applyBorder="1" applyAlignment="1">
      <alignment horizontal="center"/>
    </xf>
    <xf numFmtId="0" fontId="13" fillId="0" borderId="20" xfId="0" applyFont="1" applyBorder="1"/>
    <xf numFmtId="44" fontId="13" fillId="0" borderId="16" xfId="1" applyNumberFormat="1" applyFont="1" applyBorder="1"/>
    <xf numFmtId="0" fontId="13" fillId="0" borderId="16" xfId="0" applyFont="1" applyBorder="1"/>
    <xf numFmtId="0" fontId="23" fillId="0" borderId="16" xfId="0" applyFont="1" applyBorder="1" applyAlignment="1">
      <alignment horizontal="left"/>
    </xf>
    <xf numFmtId="44" fontId="10" fillId="0" borderId="16" xfId="0" applyNumberFormat="1" applyFont="1" applyBorder="1"/>
    <xf numFmtId="0" fontId="10" fillId="0" borderId="16" xfId="0" applyFont="1" applyBorder="1" applyAlignment="1"/>
    <xf numFmtId="44" fontId="10" fillId="0" borderId="16" xfId="0" applyNumberFormat="1" applyFont="1" applyFill="1" applyBorder="1"/>
    <xf numFmtId="0" fontId="16" fillId="0" borderId="0" xfId="0" applyFont="1"/>
    <xf numFmtId="0" fontId="16" fillId="0" borderId="0" xfId="0" applyFont="1" applyBorder="1" applyAlignment="1">
      <alignment horizontal="center"/>
    </xf>
    <xf numFmtId="44" fontId="13" fillId="0" borderId="16" xfId="1" applyNumberFormat="1" applyFont="1" applyBorder="1" applyAlignment="1">
      <alignment horizontal="center"/>
    </xf>
    <xf numFmtId="44" fontId="13" fillId="0" borderId="16" xfId="0" applyNumberFormat="1" applyFont="1" applyBorder="1"/>
    <xf numFmtId="0" fontId="13" fillId="0" borderId="16" xfId="0" applyFont="1" applyBorder="1" applyAlignment="1">
      <alignment horizontal="left"/>
    </xf>
    <xf numFmtId="44" fontId="13" fillId="0" borderId="16" xfId="1" applyNumberFormat="1" applyFont="1" applyFill="1" applyBorder="1" applyAlignment="1"/>
    <xf numFmtId="0" fontId="13" fillId="0" borderId="16" xfId="0" applyFont="1" applyFill="1" applyBorder="1" applyAlignment="1">
      <alignment vertical="top"/>
    </xf>
    <xf numFmtId="0" fontId="13" fillId="0" borderId="19" xfId="0" applyFont="1" applyBorder="1"/>
    <xf numFmtId="0" fontId="16" fillId="0" borderId="1" xfId="0" applyFont="1" applyBorder="1" applyAlignment="1">
      <alignment horizontal="center"/>
    </xf>
    <xf numFmtId="0" fontId="23" fillId="0" borderId="1" xfId="0" applyFont="1" applyBorder="1" applyAlignment="1">
      <alignment horizontal="left"/>
    </xf>
    <xf numFmtId="0" fontId="13" fillId="0" borderId="16" xfId="0" applyFont="1" applyBorder="1" applyAlignment="1"/>
    <xf numFmtId="0" fontId="10" fillId="0" borderId="1" xfId="0" applyNumberFormat="1" applyFont="1" applyBorder="1" applyAlignment="1">
      <alignment horizontal="center"/>
    </xf>
    <xf numFmtId="0" fontId="10" fillId="0" borderId="3" xfId="0" applyFont="1" applyBorder="1"/>
    <xf numFmtId="0" fontId="10" fillId="0" borderId="3" xfId="0" applyFont="1" applyBorder="1" applyAlignment="1">
      <alignment horizontal="left"/>
    </xf>
    <xf numFmtId="0" fontId="10" fillId="0" borderId="5" xfId="0" applyNumberFormat="1" applyFont="1" applyFill="1" applyBorder="1" applyAlignment="1">
      <alignment horizontal="center"/>
    </xf>
    <xf numFmtId="0" fontId="10" fillId="0" borderId="6" xfId="0" applyFont="1" applyFill="1" applyBorder="1" applyAlignment="1">
      <alignment horizontal="left"/>
    </xf>
    <xf numFmtId="0" fontId="10" fillId="0" borderId="1" xfId="0" applyNumberFormat="1" applyFont="1" applyFill="1" applyBorder="1" applyAlignment="1">
      <alignment horizontal="center"/>
    </xf>
    <xf numFmtId="0" fontId="10" fillId="0" borderId="17" xfId="0" applyNumberFormat="1" applyFont="1" applyFill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28" xfId="0" applyNumberFormat="1" applyFont="1" applyBorder="1" applyAlignment="1">
      <alignment horizontal="center"/>
    </xf>
    <xf numFmtId="0" fontId="10" fillId="0" borderId="29" xfId="0" applyFont="1" applyBorder="1" applyAlignment="1">
      <alignment horizontal="left"/>
    </xf>
    <xf numFmtId="0" fontId="10" fillId="0" borderId="3" xfId="0" applyFont="1" applyFill="1" applyBorder="1" applyAlignment="1">
      <alignment horizontal="left"/>
    </xf>
    <xf numFmtId="0" fontId="10" fillId="0" borderId="3" xfId="0" applyFont="1" applyFill="1" applyBorder="1" applyAlignment="1"/>
    <xf numFmtId="0" fontId="10" fillId="0" borderId="8" xfId="0" applyFont="1" applyFill="1" applyBorder="1" applyAlignment="1">
      <alignment horizontal="left"/>
    </xf>
    <xf numFmtId="0" fontId="10" fillId="0" borderId="28" xfId="0" applyNumberFormat="1" applyFont="1" applyFill="1" applyBorder="1" applyAlignment="1">
      <alignment horizontal="center"/>
    </xf>
    <xf numFmtId="0" fontId="10" fillId="0" borderId="29" xfId="0" applyFont="1" applyFill="1" applyBorder="1" applyAlignment="1">
      <alignment horizontal="left"/>
    </xf>
    <xf numFmtId="0" fontId="10" fillId="0" borderId="4" xfId="0" applyNumberFormat="1" applyFont="1" applyFill="1" applyBorder="1" applyAlignment="1">
      <alignment horizontal="center"/>
    </xf>
    <xf numFmtId="0" fontId="10" fillId="0" borderId="24" xfId="0" applyFont="1" applyFill="1" applyBorder="1" applyAlignment="1">
      <alignment horizontal="left"/>
    </xf>
    <xf numFmtId="44" fontId="6" fillId="3" borderId="25" xfId="1" applyFont="1" applyFill="1" applyBorder="1"/>
    <xf numFmtId="0" fontId="13" fillId="0" borderId="23" xfId="0" applyFont="1" applyBorder="1" applyAlignment="1">
      <alignment horizontal="center"/>
    </xf>
    <xf numFmtId="44" fontId="13" fillId="0" borderId="21" xfId="1" applyFont="1" applyBorder="1" applyAlignment="1">
      <alignment horizontal="center"/>
    </xf>
    <xf numFmtId="0" fontId="16" fillId="0" borderId="0" xfId="0" applyFont="1" applyBorder="1" applyAlignment="1"/>
    <xf numFmtId="0" fontId="16" fillId="3" borderId="25" xfId="0" applyFont="1" applyFill="1" applyBorder="1" applyAlignment="1">
      <alignment horizontal="center"/>
    </xf>
    <xf numFmtId="0" fontId="10" fillId="0" borderId="0" xfId="0" applyFont="1" applyBorder="1"/>
    <xf numFmtId="0" fontId="19" fillId="0" borderId="0" xfId="0" applyFont="1" applyBorder="1"/>
    <xf numFmtId="44" fontId="19" fillId="3" borderId="25" xfId="1" applyFont="1" applyFill="1" applyBorder="1"/>
    <xf numFmtId="0" fontId="16" fillId="0" borderId="0" xfId="0" applyFont="1" applyBorder="1" applyAlignment="1">
      <alignment horizontal="left"/>
    </xf>
    <xf numFmtId="0" fontId="4" fillId="0" borderId="0" xfId="0" applyFont="1" applyBorder="1"/>
    <xf numFmtId="0" fontId="13" fillId="0" borderId="0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8" fillId="0" borderId="16" xfId="1" applyNumberFormat="1" applyFont="1" applyBorder="1" applyAlignment="1">
      <alignment horizontal="center"/>
    </xf>
    <xf numFmtId="0" fontId="13" fillId="0" borderId="16" xfId="1" applyNumberFormat="1" applyFont="1" applyBorder="1" applyAlignment="1">
      <alignment horizontal="center"/>
    </xf>
    <xf numFmtId="0" fontId="27" fillId="0" borderId="16" xfId="0" applyFont="1" applyBorder="1" applyAlignment="1">
      <alignment horizontal="center"/>
    </xf>
    <xf numFmtId="44" fontId="13" fillId="0" borderId="19" xfId="1" applyFont="1" applyBorder="1"/>
    <xf numFmtId="0" fontId="13" fillId="0" borderId="46" xfId="0" applyFont="1" applyBorder="1" applyAlignment="1">
      <alignment horizontal="center"/>
    </xf>
    <xf numFmtId="0" fontId="18" fillId="0" borderId="16" xfId="0" applyFont="1" applyBorder="1"/>
    <xf numFmtId="44" fontId="13" fillId="0" borderId="16" xfId="1" applyNumberFormat="1" applyFont="1" applyFill="1" applyBorder="1"/>
    <xf numFmtId="44" fontId="13" fillId="0" borderId="19" xfId="1" applyNumberFormat="1" applyFont="1" applyBorder="1" applyAlignment="1">
      <alignment horizontal="center"/>
    </xf>
    <xf numFmtId="44" fontId="13" fillId="0" borderId="19" xfId="0" applyNumberFormat="1" applyFont="1" applyBorder="1"/>
    <xf numFmtId="44" fontId="13" fillId="0" borderId="16" xfId="0" applyNumberFormat="1" applyFont="1" applyBorder="1" applyAlignment="1">
      <alignment horizontal="center" vertical="center"/>
    </xf>
    <xf numFmtId="0" fontId="18" fillId="0" borderId="16" xfId="0" applyFont="1" applyFill="1" applyBorder="1" applyAlignment="1">
      <alignment horizontal="center"/>
    </xf>
    <xf numFmtId="0" fontId="13" fillId="0" borderId="16" xfId="0" applyFont="1" applyFill="1" applyBorder="1"/>
    <xf numFmtId="0" fontId="13" fillId="0" borderId="0" xfId="0" applyFont="1"/>
    <xf numFmtId="44" fontId="13" fillId="0" borderId="21" xfId="0" applyNumberFormat="1" applyFont="1" applyBorder="1"/>
    <xf numFmtId="0" fontId="13" fillId="0" borderId="46" xfId="0" applyFont="1" applyBorder="1"/>
    <xf numFmtId="0" fontId="27" fillId="0" borderId="16" xfId="1" applyNumberFormat="1" applyFont="1" applyBorder="1" applyAlignment="1">
      <alignment horizontal="center"/>
    </xf>
    <xf numFmtId="0" fontId="26" fillId="0" borderId="16" xfId="0" applyFont="1" applyBorder="1"/>
    <xf numFmtId="0" fontId="26" fillId="0" borderId="16" xfId="0" applyFont="1" applyBorder="1" applyAlignment="1">
      <alignment horizontal="left"/>
    </xf>
    <xf numFmtId="0" fontId="28" fillId="0" borderId="16" xfId="0" applyFont="1" applyBorder="1" applyAlignment="1">
      <alignment horizontal="center"/>
    </xf>
    <xf numFmtId="44" fontId="28" fillId="0" borderId="16" xfId="1" applyFont="1" applyBorder="1" applyAlignment="1">
      <alignment horizontal="center"/>
    </xf>
    <xf numFmtId="44" fontId="28" fillId="0" borderId="16" xfId="1" applyFont="1" applyBorder="1"/>
    <xf numFmtId="49" fontId="13" fillId="0" borderId="16" xfId="0" applyNumberFormat="1" applyFont="1" applyBorder="1" applyAlignment="1">
      <alignment horizontal="left"/>
    </xf>
    <xf numFmtId="44" fontId="13" fillId="0" borderId="16" xfId="1" applyNumberFormat="1" applyFont="1" applyBorder="1" applyAlignment="1">
      <alignment horizontal="left"/>
    </xf>
    <xf numFmtId="44" fontId="13" fillId="0" borderId="46" xfId="0" applyNumberFormat="1" applyFont="1" applyBorder="1" applyAlignment="1">
      <alignment horizontal="center"/>
    </xf>
    <xf numFmtId="0" fontId="27" fillId="0" borderId="0" xfId="0" applyFont="1" applyBorder="1"/>
    <xf numFmtId="0" fontId="23" fillId="0" borderId="16" xfId="0" applyFont="1" applyBorder="1" applyAlignment="1"/>
    <xf numFmtId="0" fontId="28" fillId="0" borderId="20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30" fillId="0" borderId="0" xfId="0" applyFont="1"/>
    <xf numFmtId="44" fontId="18" fillId="0" borderId="16" xfId="1" applyNumberFormat="1" applyFont="1" applyBorder="1" applyAlignment="1">
      <alignment horizontal="center"/>
    </xf>
    <xf numFmtId="44" fontId="13" fillId="0" borderId="51" xfId="0" applyNumberFormat="1" applyFont="1" applyBorder="1" applyAlignment="1">
      <alignment horizontal="center"/>
    </xf>
    <xf numFmtId="44" fontId="27" fillId="0" borderId="16" xfId="1" applyNumberFormat="1" applyFont="1" applyBorder="1" applyAlignment="1">
      <alignment horizontal="center"/>
    </xf>
    <xf numFmtId="0" fontId="27" fillId="0" borderId="20" xfId="0" applyFont="1" applyBorder="1" applyAlignment="1">
      <alignment horizontal="center"/>
    </xf>
    <xf numFmtId="0" fontId="13" fillId="0" borderId="20" xfId="0" applyFont="1" applyBorder="1" applyAlignment="1">
      <alignment wrapText="1"/>
    </xf>
    <xf numFmtId="44" fontId="13" fillId="0" borderId="21" xfId="1" applyFont="1" applyBorder="1"/>
    <xf numFmtId="0" fontId="10" fillId="0" borderId="43" xfId="0" applyFont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44" fontId="13" fillId="0" borderId="0" xfId="1" applyFont="1" applyFill="1" applyBorder="1"/>
    <xf numFmtId="0" fontId="13" fillId="0" borderId="0" xfId="0" applyFont="1" applyFill="1" applyBorder="1"/>
    <xf numFmtId="0" fontId="22" fillId="0" borderId="0" xfId="0" applyFont="1" applyAlignment="1">
      <alignment horizontal="center" vertical="center"/>
    </xf>
    <xf numFmtId="42" fontId="10" fillId="2" borderId="2" xfId="0" applyNumberFormat="1" applyFont="1" applyFill="1" applyBorder="1"/>
    <xf numFmtId="42" fontId="10" fillId="2" borderId="12" xfId="0" applyNumberFormat="1" applyFont="1" applyFill="1" applyBorder="1"/>
    <xf numFmtId="42" fontId="10" fillId="2" borderId="33" xfId="0" applyNumberFormat="1" applyFont="1" applyFill="1" applyBorder="1"/>
    <xf numFmtId="0" fontId="0" fillId="0" borderId="0" xfId="0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38" xfId="0" applyFont="1" applyBorder="1" applyAlignment="1">
      <alignment horizontal="centerContinuous"/>
    </xf>
    <xf numFmtId="0" fontId="0" fillId="0" borderId="38" xfId="0" applyBorder="1" applyAlignment="1">
      <alignment horizontal="centerContinuous"/>
    </xf>
    <xf numFmtId="0" fontId="14" fillId="0" borderId="61" xfId="0" applyFont="1" applyBorder="1" applyAlignment="1">
      <alignment horizontal="left" vertical="center"/>
    </xf>
    <xf numFmtId="0" fontId="0" fillId="0" borderId="37" xfId="0" applyBorder="1" applyAlignment="1">
      <alignment horizontal="centerContinuous" vertical="center"/>
    </xf>
    <xf numFmtId="0" fontId="0" fillId="0" borderId="37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44" xfId="0" applyBorder="1" applyAlignment="1">
      <alignment vertical="center"/>
    </xf>
    <xf numFmtId="0" fontId="7" fillId="0" borderId="44" xfId="0" applyFont="1" applyBorder="1" applyAlignment="1">
      <alignment horizontal="right" vertical="center"/>
    </xf>
    <xf numFmtId="0" fontId="14" fillId="0" borderId="26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44" xfId="0" applyFont="1" applyBorder="1" applyAlignment="1">
      <alignment horizontal="right" vertical="center"/>
    </xf>
    <xf numFmtId="0" fontId="0" fillId="0" borderId="49" xfId="0" applyBorder="1"/>
    <xf numFmtId="0" fontId="14" fillId="4" borderId="26" xfId="0" applyFont="1" applyFill="1" applyBorder="1" applyAlignment="1">
      <alignment horizontal="center" vertical="center"/>
    </xf>
    <xf numFmtId="164" fontId="0" fillId="4" borderId="26" xfId="0" applyNumberFormat="1" applyFill="1" applyBorder="1" applyAlignment="1">
      <alignment horizontal="center" vertical="center"/>
    </xf>
    <xf numFmtId="164" fontId="0" fillId="4" borderId="68" xfId="0" applyNumberFormat="1" applyFill="1" applyBorder="1" applyAlignment="1">
      <alignment horizontal="center" vertical="center"/>
    </xf>
    <xf numFmtId="0" fontId="0" fillId="0" borderId="44" xfId="0" applyBorder="1" applyAlignment="1">
      <alignment horizontal="right" vertical="center"/>
    </xf>
    <xf numFmtId="164" fontId="0" fillId="0" borderId="26" xfId="0" applyNumberFormat="1" applyBorder="1" applyAlignment="1">
      <alignment horizontal="center" vertical="center"/>
    </xf>
    <xf numFmtId="164" fontId="0" fillId="0" borderId="68" xfId="0" applyNumberFormat="1" applyBorder="1" applyAlignment="1">
      <alignment horizontal="center" vertical="center"/>
    </xf>
    <xf numFmtId="164" fontId="0" fillId="4" borderId="49" xfId="0" applyNumberFormat="1" applyFill="1" applyBorder="1" applyAlignment="1">
      <alignment horizontal="center" vertical="center"/>
    </xf>
    <xf numFmtId="164" fontId="0" fillId="0" borderId="49" xfId="0" applyNumberFormat="1" applyBorder="1" applyAlignment="1">
      <alignment horizontal="center" vertical="center"/>
    </xf>
    <xf numFmtId="0" fontId="13" fillId="0" borderId="16" xfId="0" applyFont="1" applyFill="1" applyBorder="1" applyAlignment="1">
      <alignment vertical="top" wrapText="1"/>
    </xf>
    <xf numFmtId="0" fontId="9" fillId="0" borderId="0" xfId="2"/>
    <xf numFmtId="0" fontId="9" fillId="0" borderId="0" xfId="2" applyBorder="1"/>
    <xf numFmtId="0" fontId="10" fillId="0" borderId="0" xfId="2" applyFont="1" applyBorder="1" applyAlignment="1">
      <alignment textRotation="44"/>
    </xf>
    <xf numFmtId="0" fontId="10" fillId="0" borderId="0" xfId="2" applyFont="1" applyBorder="1"/>
    <xf numFmtId="165" fontId="9" fillId="0" borderId="0" xfId="2" applyNumberFormat="1" applyBorder="1" applyAlignment="1">
      <alignment horizontal="center"/>
    </xf>
    <xf numFmtId="0" fontId="7" fillId="0" borderId="0" xfId="2" applyFont="1" applyBorder="1"/>
    <xf numFmtId="0" fontId="7" fillId="0" borderId="0" xfId="2" applyFont="1" applyBorder="1" applyAlignment="1">
      <alignment horizontal="right"/>
    </xf>
    <xf numFmtId="0" fontId="7" fillId="0" borderId="0" xfId="2" applyFont="1" applyBorder="1" applyAlignment="1">
      <alignment horizontal="center"/>
    </xf>
    <xf numFmtId="0" fontId="7" fillId="0" borderId="0" xfId="2" applyFont="1"/>
    <xf numFmtId="165" fontId="9" fillId="0" borderId="0" xfId="2" applyNumberFormat="1" applyBorder="1"/>
    <xf numFmtId="164" fontId="9" fillId="0" borderId="0" xfId="2" applyNumberFormat="1" applyBorder="1"/>
    <xf numFmtId="165" fontId="9" fillId="0" borderId="0" xfId="2" applyNumberFormat="1" applyFill="1" applyBorder="1"/>
    <xf numFmtId="0" fontId="9" fillId="0" borderId="70" xfId="0" applyNumberFormat="1" applyFont="1" applyBorder="1" applyAlignment="1">
      <alignment horizontal="center"/>
    </xf>
    <xf numFmtId="0" fontId="15" fillId="0" borderId="71" xfId="0" applyFont="1" applyBorder="1" applyAlignment="1">
      <alignment horizontal="left"/>
    </xf>
    <xf numFmtId="44" fontId="23" fillId="0" borderId="16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3" fillId="0" borderId="0" xfId="0" applyFont="1" applyBorder="1"/>
    <xf numFmtId="0" fontId="17" fillId="0" borderId="0" xfId="0" applyFont="1" applyBorder="1"/>
    <xf numFmtId="0" fontId="13" fillId="0" borderId="4" xfId="0" applyFont="1" applyBorder="1" applyAlignment="1">
      <alignment horizontal="center"/>
    </xf>
    <xf numFmtId="0" fontId="13" fillId="0" borderId="0" xfId="0" applyFont="1" applyBorder="1" applyAlignment="1"/>
    <xf numFmtId="0" fontId="4" fillId="0" borderId="0" xfId="0" applyFont="1"/>
    <xf numFmtId="0" fontId="4" fillId="0" borderId="0" xfId="0" applyFont="1" applyBorder="1" applyAlignment="1"/>
    <xf numFmtId="0" fontId="18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3" fillId="3" borderId="25" xfId="0" applyFont="1" applyFill="1" applyBorder="1" applyAlignment="1">
      <alignment horizontal="center"/>
    </xf>
    <xf numFmtId="0" fontId="18" fillId="0" borderId="16" xfId="0" applyFont="1" applyBorder="1" applyAlignment="1">
      <alignment horizontal="center" vertical="center"/>
    </xf>
    <xf numFmtId="44" fontId="10" fillId="0" borderId="16" xfId="0" applyNumberFormat="1" applyFont="1" applyBorder="1" applyAlignment="1">
      <alignment horizontal="center"/>
    </xf>
    <xf numFmtId="44" fontId="10" fillId="0" borderId="19" xfId="0" applyNumberFormat="1" applyFont="1" applyBorder="1" applyAlignment="1">
      <alignment horizontal="center"/>
    </xf>
    <xf numFmtId="0" fontId="18" fillId="0" borderId="20" xfId="0" applyFont="1" applyFill="1" applyBorder="1"/>
    <xf numFmtId="0" fontId="18" fillId="0" borderId="20" xfId="0" applyFont="1" applyFill="1" applyBorder="1" applyAlignment="1">
      <alignment horizontal="center"/>
    </xf>
    <xf numFmtId="0" fontId="13" fillId="0" borderId="20" xfId="0" applyFont="1" applyFill="1" applyBorder="1"/>
    <xf numFmtId="44" fontId="13" fillId="0" borderId="16" xfId="0" applyNumberFormat="1" applyFont="1" applyFill="1" applyBorder="1"/>
    <xf numFmtId="44" fontId="18" fillId="0" borderId="16" xfId="0" applyNumberFormat="1" applyFont="1" applyBorder="1" applyAlignment="1">
      <alignment horizontal="center"/>
    </xf>
    <xf numFmtId="0" fontId="18" fillId="0" borderId="0" xfId="0" applyFont="1" applyFill="1" applyBorder="1"/>
    <xf numFmtId="0" fontId="4" fillId="0" borderId="0" xfId="0" applyFont="1" applyBorder="1" applyAlignment="1">
      <alignment horizontal="left"/>
    </xf>
    <xf numFmtId="44" fontId="10" fillId="0" borderId="16" xfId="1" applyFont="1" applyBorder="1"/>
    <xf numFmtId="44" fontId="10" fillId="0" borderId="21" xfId="0" applyNumberFormat="1" applyFont="1" applyBorder="1" applyAlignment="1">
      <alignment horizontal="center"/>
    </xf>
    <xf numFmtId="44" fontId="18" fillId="3" borderId="25" xfId="1" applyFont="1" applyFill="1" applyBorder="1"/>
    <xf numFmtId="0" fontId="13" fillId="0" borderId="76" xfId="0" applyFont="1" applyBorder="1"/>
    <xf numFmtId="44" fontId="35" fillId="0" borderId="16" xfId="0" applyNumberFormat="1" applyFont="1" applyBorder="1" applyAlignment="1">
      <alignment horizontal="center"/>
    </xf>
    <xf numFmtId="0" fontId="18" fillId="3" borderId="25" xfId="1" applyNumberFormat="1" applyFont="1" applyFill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28" fillId="0" borderId="20" xfId="0" applyFont="1" applyBorder="1" applyAlignment="1">
      <alignment horizontal="left"/>
    </xf>
    <xf numFmtId="0" fontId="16" fillId="3" borderId="28" xfId="0" applyFont="1" applyFill="1" applyBorder="1" applyAlignment="1">
      <alignment horizontal="center"/>
    </xf>
    <xf numFmtId="0" fontId="16" fillId="3" borderId="33" xfId="0" applyFont="1" applyFill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3" fillId="3" borderId="25" xfId="1" applyNumberFormat="1" applyFont="1" applyFill="1" applyBorder="1" applyAlignment="1">
      <alignment horizontal="center"/>
    </xf>
    <xf numFmtId="0" fontId="13" fillId="0" borderId="23" xfId="0" applyFont="1" applyBorder="1"/>
    <xf numFmtId="0" fontId="13" fillId="0" borderId="0" xfId="0" applyFont="1" applyAlignment="1">
      <alignment horizontal="right"/>
    </xf>
    <xf numFmtId="0" fontId="13" fillId="0" borderId="0" xfId="0" applyFont="1" applyAlignment="1">
      <alignment horizontal="right" wrapText="1"/>
    </xf>
    <xf numFmtId="0" fontId="18" fillId="3" borderId="25" xfId="0" applyFont="1" applyFill="1" applyBorder="1" applyAlignment="1">
      <alignment horizontal="center"/>
    </xf>
    <xf numFmtId="44" fontId="18" fillId="0" borderId="16" xfId="0" applyNumberFormat="1" applyFont="1" applyFill="1" applyBorder="1" applyAlignment="1">
      <alignment horizontal="center"/>
    </xf>
    <xf numFmtId="0" fontId="18" fillId="3" borderId="25" xfId="0" applyFont="1" applyFill="1" applyBorder="1" applyAlignment="1">
      <alignment horizontal="left"/>
    </xf>
    <xf numFmtId="44" fontId="27" fillId="0" borderId="16" xfId="1" applyFont="1" applyBorder="1" applyAlignment="1"/>
    <xf numFmtId="0" fontId="28" fillId="0" borderId="0" xfId="0" applyFont="1" applyBorder="1"/>
    <xf numFmtId="0" fontId="13" fillId="0" borderId="74" xfId="0" applyFont="1" applyBorder="1" applyAlignment="1">
      <alignment horizontal="center"/>
    </xf>
    <xf numFmtId="44" fontId="27" fillId="0" borderId="16" xfId="1" applyFont="1" applyBorder="1"/>
    <xf numFmtId="44" fontId="13" fillId="0" borderId="21" xfId="1" applyFont="1" applyFill="1" applyBorder="1" applyAlignment="1">
      <alignment horizontal="left"/>
    </xf>
    <xf numFmtId="0" fontId="18" fillId="3" borderId="25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37" fillId="0" borderId="16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44" fontId="10" fillId="0" borderId="16" xfId="0" applyNumberFormat="1" applyFont="1" applyFill="1" applyBorder="1" applyAlignment="1">
      <alignment horizontal="center"/>
    </xf>
    <xf numFmtId="0" fontId="35" fillId="0" borderId="16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13" fillId="0" borderId="16" xfId="0" applyFont="1" applyFill="1" applyBorder="1" applyAlignment="1"/>
    <xf numFmtId="0" fontId="13" fillId="2" borderId="16" xfId="0" applyFont="1" applyFill="1" applyBorder="1" applyAlignment="1">
      <alignment horizontal="left"/>
    </xf>
    <xf numFmtId="0" fontId="38" fillId="0" borderId="0" xfId="0" applyFont="1" applyBorder="1"/>
    <xf numFmtId="0" fontId="13" fillId="0" borderId="0" xfId="0" applyFont="1" applyFill="1" applyBorder="1" applyAlignment="1">
      <alignment horizontal="left"/>
    </xf>
    <xf numFmtId="0" fontId="23" fillId="0" borderId="0" xfId="0" applyFont="1" applyBorder="1"/>
    <xf numFmtId="0" fontId="36" fillId="0" borderId="16" xfId="0" applyFont="1" applyBorder="1" applyAlignment="1">
      <alignment horizontal="center"/>
    </xf>
    <xf numFmtId="44" fontId="18" fillId="0" borderId="16" xfId="1" applyFont="1" applyBorder="1"/>
    <xf numFmtId="0" fontId="39" fillId="0" borderId="0" xfId="0" applyFont="1" applyBorder="1" applyAlignment="1">
      <alignment horizontal="left"/>
    </xf>
    <xf numFmtId="44" fontId="13" fillId="0" borderId="19" xfId="1" applyNumberFormat="1" applyFont="1" applyBorder="1" applyAlignment="1">
      <alignment horizontal="left"/>
    </xf>
    <xf numFmtId="44" fontId="13" fillId="0" borderId="22" xfId="1" applyFont="1" applyBorder="1"/>
    <xf numFmtId="44" fontId="13" fillId="0" borderId="76" xfId="1" applyNumberFormat="1" applyFont="1" applyBorder="1"/>
    <xf numFmtId="0" fontId="23" fillId="0" borderId="20" xfId="0" applyFont="1" applyFill="1" applyBorder="1" applyAlignment="1">
      <alignment horizontal="left"/>
    </xf>
    <xf numFmtId="44" fontId="23" fillId="0" borderId="16" xfId="0" applyNumberFormat="1" applyFont="1" applyBorder="1"/>
    <xf numFmtId="44" fontId="27" fillId="0" borderId="16" xfId="0" applyNumberFormat="1" applyFont="1" applyBorder="1" applyAlignment="1">
      <alignment horizontal="center"/>
    </xf>
    <xf numFmtId="44" fontId="13" fillId="0" borderId="21" xfId="1" applyNumberFormat="1" applyFont="1" applyBorder="1" applyAlignment="1">
      <alignment horizontal="left"/>
    </xf>
    <xf numFmtId="0" fontId="15" fillId="0" borderId="0" xfId="0" applyFont="1" applyBorder="1"/>
    <xf numFmtId="0" fontId="2" fillId="0" borderId="0" xfId="0" applyFont="1"/>
    <xf numFmtId="0" fontId="13" fillId="0" borderId="19" xfId="0" applyFont="1" applyFill="1" applyBorder="1" applyAlignment="1"/>
    <xf numFmtId="44" fontId="10" fillId="0" borderId="0" xfId="0" applyNumberFormat="1" applyFont="1"/>
    <xf numFmtId="0" fontId="10" fillId="0" borderId="0" xfId="0" applyFont="1" applyAlignment="1">
      <alignment vertical="center"/>
    </xf>
    <xf numFmtId="0" fontId="25" fillId="0" borderId="0" xfId="0" applyFont="1" applyBorder="1"/>
    <xf numFmtId="42" fontId="0" fillId="0" borderId="0" xfId="0" applyNumberFormat="1"/>
    <xf numFmtId="0" fontId="24" fillId="0" borderId="81" xfId="0" applyFont="1" applyBorder="1" applyAlignment="1">
      <alignment horizontal="left" vertical="center"/>
    </xf>
    <xf numFmtId="44" fontId="13" fillId="0" borderId="76" xfId="1" applyFont="1" applyBorder="1" applyAlignment="1">
      <alignment horizontal="left"/>
    </xf>
    <xf numFmtId="0" fontId="13" fillId="0" borderId="72" xfId="0" applyFont="1" applyBorder="1"/>
    <xf numFmtId="164" fontId="10" fillId="0" borderId="0" xfId="0" applyNumberFormat="1" applyFont="1" applyBorder="1" applyAlignment="1"/>
    <xf numFmtId="0" fontId="13" fillId="0" borderId="41" xfId="0" applyFont="1" applyBorder="1"/>
    <xf numFmtId="0" fontId="19" fillId="3" borderId="25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6" fillId="0" borderId="3" xfId="0" applyFont="1" applyBorder="1"/>
    <xf numFmtId="44" fontId="16" fillId="0" borderId="3" xfId="0" applyNumberFormat="1" applyFont="1" applyBorder="1"/>
    <xf numFmtId="0" fontId="16" fillId="0" borderId="1" xfId="0" applyFont="1" applyBorder="1"/>
    <xf numFmtId="0" fontId="16" fillId="0" borderId="2" xfId="0" applyFont="1" applyBorder="1"/>
    <xf numFmtId="44" fontId="16" fillId="0" borderId="10" xfId="0" applyNumberFormat="1" applyFont="1" applyBorder="1"/>
    <xf numFmtId="0" fontId="41" fillId="0" borderId="16" xfId="0" applyFont="1" applyBorder="1" applyAlignment="1">
      <alignment horizontal="center"/>
    </xf>
    <xf numFmtId="0" fontId="13" fillId="0" borderId="1" xfId="0" applyFont="1" applyBorder="1" applyAlignment="1"/>
    <xf numFmtId="44" fontId="10" fillId="0" borderId="16" xfId="1" applyFont="1" applyBorder="1" applyAlignment="1">
      <alignment horizontal="left"/>
    </xf>
    <xf numFmtId="44" fontId="10" fillId="0" borderId="19" xfId="1" applyFont="1" applyBorder="1" applyAlignment="1">
      <alignment horizontal="left"/>
    </xf>
    <xf numFmtId="44" fontId="10" fillId="0" borderId="19" xfId="0" applyNumberFormat="1" applyFont="1" applyBorder="1"/>
    <xf numFmtId="0" fontId="10" fillId="0" borderId="76" xfId="0" applyFont="1" applyBorder="1"/>
    <xf numFmtId="0" fontId="13" fillId="3" borderId="53" xfId="0" applyFont="1" applyFill="1" applyBorder="1"/>
    <xf numFmtId="0" fontId="13" fillId="0" borderId="0" xfId="0" applyFont="1" applyAlignment="1">
      <alignment horizontal="center"/>
    </xf>
    <xf numFmtId="0" fontId="10" fillId="0" borderId="46" xfId="0" applyFont="1" applyBorder="1" applyAlignment="1">
      <alignment horizontal="center"/>
    </xf>
    <xf numFmtId="0" fontId="15" fillId="0" borderId="16" xfId="0" applyFont="1" applyFill="1" applyBorder="1" applyAlignment="1">
      <alignment horizontal="center"/>
    </xf>
    <xf numFmtId="0" fontId="10" fillId="0" borderId="19" xfId="0" applyFont="1" applyBorder="1" applyAlignment="1">
      <alignment horizontal="left"/>
    </xf>
    <xf numFmtId="44" fontId="10" fillId="0" borderId="21" xfId="1" applyFont="1" applyBorder="1" applyAlignment="1">
      <alignment horizontal="left"/>
    </xf>
    <xf numFmtId="0" fontId="10" fillId="0" borderId="0" xfId="0" applyFont="1" applyBorder="1" applyAlignment="1">
      <alignment vertical="justify" wrapText="1"/>
    </xf>
    <xf numFmtId="0" fontId="10" fillId="0" borderId="19" xfId="0" applyFont="1" applyBorder="1" applyAlignment="1"/>
    <xf numFmtId="44" fontId="36" fillId="0" borderId="16" xfId="1" applyFont="1" applyBorder="1"/>
    <xf numFmtId="0" fontId="10" fillId="0" borderId="74" xfId="0" applyFont="1" applyBorder="1" applyAlignment="1">
      <alignment horizontal="center"/>
    </xf>
    <xf numFmtId="44" fontId="13" fillId="0" borderId="76" xfId="0" applyNumberFormat="1" applyFont="1" applyBorder="1"/>
    <xf numFmtId="0" fontId="23" fillId="0" borderId="0" xfId="0" applyFont="1"/>
    <xf numFmtId="0" fontId="23" fillId="0" borderId="1" xfId="0" applyFont="1" applyBorder="1" applyAlignment="1"/>
    <xf numFmtId="0" fontId="23" fillId="0" borderId="1" xfId="0" applyFont="1" applyBorder="1"/>
    <xf numFmtId="0" fontId="23" fillId="0" borderId="20" xfId="0" applyFont="1" applyBorder="1" applyAlignment="1">
      <alignment horizontal="left"/>
    </xf>
    <xf numFmtId="0" fontId="23" fillId="0" borderId="19" xfId="0" applyFont="1" applyBorder="1"/>
    <xf numFmtId="44" fontId="35" fillId="0" borderId="19" xfId="0" applyNumberFormat="1" applyFont="1" applyBorder="1" applyAlignment="1">
      <alignment horizontal="center"/>
    </xf>
    <xf numFmtId="0" fontId="13" fillId="0" borderId="69" xfId="0" applyFont="1" applyBorder="1"/>
    <xf numFmtId="44" fontId="23" fillId="0" borderId="19" xfId="0" applyNumberFormat="1" applyFont="1" applyBorder="1" applyAlignment="1">
      <alignment horizontal="center"/>
    </xf>
    <xf numFmtId="0" fontId="27" fillId="0" borderId="16" xfId="0" applyFont="1" applyFill="1" applyBorder="1" applyAlignment="1">
      <alignment horizontal="center"/>
    </xf>
    <xf numFmtId="44" fontId="13" fillId="0" borderId="19" xfId="0" applyNumberFormat="1" applyFont="1" applyFill="1" applyBorder="1" applyAlignment="1">
      <alignment horizontal="center"/>
    </xf>
    <xf numFmtId="44" fontId="13" fillId="0" borderId="69" xfId="0" applyNumberFormat="1" applyFont="1" applyFill="1" applyBorder="1" applyAlignment="1">
      <alignment horizontal="center"/>
    </xf>
    <xf numFmtId="0" fontId="0" fillId="0" borderId="0" xfId="0" applyFill="1"/>
    <xf numFmtId="0" fontId="13" fillId="0" borderId="86" xfId="0" applyFont="1" applyBorder="1"/>
    <xf numFmtId="44" fontId="13" fillId="0" borderId="86" xfId="0" applyNumberFormat="1" applyFont="1" applyFill="1" applyBorder="1" applyAlignment="1">
      <alignment horizontal="center"/>
    </xf>
    <xf numFmtId="44" fontId="13" fillId="0" borderId="86" xfId="0" applyNumberFormat="1" applyFont="1" applyFill="1" applyBorder="1"/>
    <xf numFmtId="0" fontId="18" fillId="0" borderId="20" xfId="0" applyFont="1" applyFill="1" applyBorder="1" applyAlignment="1">
      <alignment horizontal="left"/>
    </xf>
    <xf numFmtId="0" fontId="19" fillId="0" borderId="5" xfId="0" applyFont="1" applyBorder="1"/>
    <xf numFmtId="0" fontId="16" fillId="0" borderId="6" xfId="0" applyFont="1" applyBorder="1"/>
    <xf numFmtId="0" fontId="16" fillId="0" borderId="7" xfId="0" applyFont="1" applyBorder="1"/>
    <xf numFmtId="0" fontId="19" fillId="0" borderId="3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44" fontId="16" fillId="0" borderId="3" xfId="1" applyNumberFormat="1" applyFont="1" applyBorder="1"/>
    <xf numFmtId="0" fontId="19" fillId="0" borderId="1" xfId="0" applyFont="1" applyBorder="1"/>
    <xf numFmtId="44" fontId="16" fillId="0" borderId="3" xfId="1" applyFont="1" applyBorder="1"/>
    <xf numFmtId="0" fontId="16" fillId="0" borderId="17" xfId="0" applyFont="1" applyBorder="1"/>
    <xf numFmtId="0" fontId="16" fillId="0" borderId="8" xfId="0" applyFont="1" applyBorder="1"/>
    <xf numFmtId="44" fontId="16" fillId="0" borderId="8" xfId="1" applyNumberFormat="1" applyFont="1" applyBorder="1"/>
    <xf numFmtId="0" fontId="19" fillId="0" borderId="18" xfId="0" applyFont="1" applyBorder="1"/>
    <xf numFmtId="0" fontId="16" fillId="0" borderId="13" xfId="0" applyFont="1" applyBorder="1"/>
    <xf numFmtId="44" fontId="16" fillId="0" borderId="13" xfId="0" applyNumberFormat="1" applyFont="1" applyBorder="1"/>
    <xf numFmtId="0" fontId="19" fillId="0" borderId="9" xfId="0" applyFont="1" applyBorder="1" applyAlignment="1">
      <alignment horizontal="right"/>
    </xf>
    <xf numFmtId="0" fontId="16" fillId="0" borderId="10" xfId="0" applyFont="1" applyBorder="1"/>
    <xf numFmtId="44" fontId="19" fillId="0" borderId="50" xfId="0" applyNumberFormat="1" applyFont="1" applyBorder="1"/>
    <xf numFmtId="44" fontId="16" fillId="0" borderId="2" xfId="1" applyNumberFormat="1" applyFont="1" applyBorder="1"/>
    <xf numFmtId="44" fontId="19" fillId="0" borderId="11" xfId="0" applyNumberFormat="1" applyFont="1" applyBorder="1"/>
    <xf numFmtId="0" fontId="16" fillId="0" borderId="11" xfId="0" applyFont="1" applyBorder="1"/>
    <xf numFmtId="44" fontId="19" fillId="0" borderId="2" xfId="0" applyNumberFormat="1" applyFont="1" applyBorder="1"/>
    <xf numFmtId="44" fontId="19" fillId="0" borderId="2" xfId="0" applyNumberFormat="1" applyFont="1" applyBorder="1" applyAlignment="1">
      <alignment horizontal="center"/>
    </xf>
    <xf numFmtId="44" fontId="19" fillId="0" borderId="2" xfId="1" applyNumberFormat="1" applyFont="1" applyBorder="1"/>
    <xf numFmtId="44" fontId="19" fillId="0" borderId="2" xfId="1" applyFont="1" applyBorder="1"/>
    <xf numFmtId="44" fontId="19" fillId="0" borderId="77" xfId="1" applyNumberFormat="1" applyFont="1" applyBorder="1"/>
    <xf numFmtId="8" fontId="10" fillId="0" borderId="0" xfId="0" applyNumberFormat="1" applyFont="1"/>
    <xf numFmtId="0" fontId="15" fillId="0" borderId="14" xfId="0" applyNumberFormat="1" applyFont="1" applyBorder="1" applyAlignment="1">
      <alignment horizontal="center" vertical="center"/>
    </xf>
    <xf numFmtId="43" fontId="0" fillId="0" borderId="0" xfId="0" applyNumberFormat="1"/>
    <xf numFmtId="0" fontId="15" fillId="0" borderId="27" xfId="0" applyNumberFormat="1" applyFont="1" applyBorder="1" applyAlignment="1">
      <alignment vertical="top"/>
    </xf>
    <xf numFmtId="0" fontId="15" fillId="0" borderId="80" xfId="0" applyFont="1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42" fontId="10" fillId="2" borderId="15" xfId="0" applyNumberFormat="1" applyFont="1" applyFill="1" applyBorder="1"/>
    <xf numFmtId="42" fontId="10" fillId="0" borderId="0" xfId="0" applyNumberFormat="1" applyFont="1"/>
    <xf numFmtId="0" fontId="43" fillId="0" borderId="0" xfId="0" applyFont="1"/>
    <xf numFmtId="0" fontId="44" fillId="0" borderId="0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3" fillId="2" borderId="28" xfId="0" applyFont="1" applyFill="1" applyBorder="1"/>
    <xf numFmtId="42" fontId="43" fillId="0" borderId="29" xfId="0" applyNumberFormat="1" applyFont="1" applyFill="1" applyBorder="1"/>
    <xf numFmtId="42" fontId="43" fillId="0" borderId="3" xfId="0" applyNumberFormat="1" applyFont="1" applyFill="1" applyBorder="1"/>
    <xf numFmtId="0" fontId="43" fillId="2" borderId="1" xfId="0" applyFont="1" applyFill="1" applyBorder="1"/>
    <xf numFmtId="0" fontId="43" fillId="2" borderId="4" xfId="0" applyFont="1" applyFill="1" applyBorder="1"/>
    <xf numFmtId="42" fontId="43" fillId="0" borderId="24" xfId="0" applyNumberFormat="1" applyFont="1" applyFill="1" applyBorder="1"/>
    <xf numFmtId="0" fontId="43" fillId="2" borderId="28" xfId="0" applyFont="1" applyFill="1" applyBorder="1" applyAlignment="1">
      <alignment wrapText="1"/>
    </xf>
    <xf numFmtId="42" fontId="43" fillId="3" borderId="29" xfId="0" applyNumberFormat="1" applyFont="1" applyFill="1" applyBorder="1"/>
    <xf numFmtId="0" fontId="43" fillId="0" borderId="1" xfId="0" applyFont="1" applyBorder="1"/>
    <xf numFmtId="42" fontId="43" fillId="3" borderId="3" xfId="0" applyNumberFormat="1" applyFont="1" applyFill="1" applyBorder="1"/>
    <xf numFmtId="0" fontId="43" fillId="0" borderId="42" xfId="0" applyFont="1" applyBorder="1"/>
    <xf numFmtId="0" fontId="43" fillId="2" borderId="17" xfId="0" applyFont="1" applyFill="1" applyBorder="1"/>
    <xf numFmtId="42" fontId="43" fillId="0" borderId="8" xfId="0" applyNumberFormat="1" applyFont="1" applyFill="1" applyBorder="1"/>
    <xf numFmtId="0" fontId="45" fillId="0" borderId="16" xfId="0" applyFont="1" applyBorder="1"/>
    <xf numFmtId="9" fontId="10" fillId="0" borderId="0" xfId="0" applyNumberFormat="1" applyFont="1"/>
    <xf numFmtId="0" fontId="13" fillId="0" borderId="16" xfId="0" applyFont="1" applyFill="1" applyBorder="1" applyAlignment="1">
      <alignment horizontal="left" vertical="top"/>
    </xf>
    <xf numFmtId="44" fontId="13" fillId="0" borderId="16" xfId="1" applyNumberFormat="1" applyFont="1" applyBorder="1" applyAlignment="1"/>
    <xf numFmtId="0" fontId="43" fillId="0" borderId="28" xfId="0" applyFont="1" applyFill="1" applyBorder="1"/>
    <xf numFmtId="0" fontId="43" fillId="0" borderId="1" xfId="0" applyFont="1" applyFill="1" applyBorder="1"/>
    <xf numFmtId="0" fontId="43" fillId="0" borderId="4" xfId="0" applyFont="1" applyFill="1" applyBorder="1"/>
    <xf numFmtId="0" fontId="43" fillId="0" borderId="5" xfId="0" applyFont="1" applyBorder="1"/>
    <xf numFmtId="42" fontId="43" fillId="0" borderId="6" xfId="0" applyNumberFormat="1" applyFont="1" applyFill="1" applyBorder="1"/>
    <xf numFmtId="42" fontId="43" fillId="3" borderId="6" xfId="0" applyNumberFormat="1" applyFont="1" applyFill="1" applyBorder="1"/>
    <xf numFmtId="42" fontId="43" fillId="2" borderId="29" xfId="0" applyNumberFormat="1" applyFont="1" applyFill="1" applyBorder="1"/>
    <xf numFmtId="42" fontId="43" fillId="0" borderId="71" xfId="0" applyNumberFormat="1" applyFont="1" applyFill="1" applyBorder="1"/>
    <xf numFmtId="42" fontId="43" fillId="2" borderId="71" xfId="0" applyNumberFormat="1" applyFont="1" applyFill="1" applyBorder="1"/>
    <xf numFmtId="0" fontId="23" fillId="0" borderId="40" xfId="0" applyFont="1" applyBorder="1" applyAlignment="1">
      <alignment horizontal="left"/>
    </xf>
    <xf numFmtId="42" fontId="43" fillId="0" borderId="13" xfId="0" applyNumberFormat="1" applyFont="1" applyFill="1" applyBorder="1"/>
    <xf numFmtId="0" fontId="43" fillId="0" borderId="70" xfId="0" applyFont="1" applyFill="1" applyBorder="1"/>
    <xf numFmtId="42" fontId="43" fillId="3" borderId="24" xfId="0" applyNumberFormat="1" applyFont="1" applyFill="1" applyBorder="1"/>
    <xf numFmtId="42" fontId="10" fillId="0" borderId="12" xfId="0" applyNumberFormat="1" applyFont="1" applyFill="1" applyBorder="1"/>
    <xf numFmtId="42" fontId="10" fillId="0" borderId="78" xfId="0" applyNumberFormat="1" applyFont="1" applyFill="1" applyBorder="1"/>
    <xf numFmtId="42" fontId="10" fillId="0" borderId="33" xfId="0" applyNumberFormat="1" applyFont="1" applyFill="1" applyBorder="1"/>
    <xf numFmtId="42" fontId="10" fillId="0" borderId="2" xfId="0" applyNumberFormat="1" applyFont="1" applyFill="1" applyBorder="1"/>
    <xf numFmtId="41" fontId="10" fillId="0" borderId="66" xfId="0" applyNumberFormat="1" applyFont="1" applyFill="1" applyBorder="1"/>
    <xf numFmtId="43" fontId="10" fillId="0" borderId="66" xfId="0" applyNumberFormat="1" applyFont="1" applyFill="1" applyBorder="1"/>
    <xf numFmtId="0" fontId="43" fillId="2" borderId="71" xfId="0" applyFont="1" applyFill="1" applyBorder="1"/>
    <xf numFmtId="0" fontId="21" fillId="2" borderId="29" xfId="0" applyFont="1" applyFill="1" applyBorder="1"/>
    <xf numFmtId="0" fontId="10" fillId="0" borderId="0" xfId="0" applyFont="1" applyFill="1"/>
    <xf numFmtId="0" fontId="21" fillId="0" borderId="0" xfId="0" applyFont="1" applyBorder="1"/>
    <xf numFmtId="44" fontId="13" fillId="0" borderId="26" xfId="0" applyNumberFormat="1" applyFont="1" applyBorder="1"/>
    <xf numFmtId="44" fontId="13" fillId="0" borderId="79" xfId="1" applyNumberFormat="1" applyFont="1" applyBorder="1" applyAlignment="1">
      <alignment horizontal="center"/>
    </xf>
    <xf numFmtId="0" fontId="10" fillId="0" borderId="29" xfId="0" applyFont="1" applyFill="1" applyBorder="1"/>
    <xf numFmtId="0" fontId="10" fillId="0" borderId="1" xfId="0" applyFont="1" applyFill="1" applyBorder="1"/>
    <xf numFmtId="0" fontId="47" fillId="0" borderId="3" xfId="0" applyFont="1" applyFill="1" applyBorder="1"/>
    <xf numFmtId="0" fontId="10" fillId="0" borderId="3" xfId="0" applyFont="1" applyFill="1" applyBorder="1"/>
    <xf numFmtId="0" fontId="10" fillId="0" borderId="4" xfId="0" applyFont="1" applyFill="1" applyBorder="1"/>
    <xf numFmtId="0" fontId="10" fillId="0" borderId="5" xfId="0" applyFont="1" applyFill="1" applyBorder="1"/>
    <xf numFmtId="0" fontId="10" fillId="0" borderId="6" xfId="0" applyFont="1" applyFill="1" applyBorder="1"/>
    <xf numFmtId="0" fontId="10" fillId="0" borderId="56" xfId="0" applyFont="1" applyFill="1" applyBorder="1"/>
    <xf numFmtId="0" fontId="10" fillId="0" borderId="34" xfId="0" applyFont="1" applyFill="1" applyBorder="1"/>
    <xf numFmtId="0" fontId="10" fillId="0" borderId="81" xfId="0" applyFont="1" applyFill="1" applyBorder="1"/>
    <xf numFmtId="0" fontId="10" fillId="0" borderId="17" xfId="0" applyFont="1" applyBorder="1"/>
    <xf numFmtId="0" fontId="10" fillId="0" borderId="8" xfId="0" applyFont="1" applyBorder="1"/>
    <xf numFmtId="0" fontId="10" fillId="0" borderId="59" xfId="0" applyFont="1" applyBorder="1"/>
    <xf numFmtId="0" fontId="10" fillId="0" borderId="35" xfId="0" applyFont="1" applyBorder="1"/>
    <xf numFmtId="0" fontId="21" fillId="0" borderId="0" xfId="0" applyFont="1" applyAlignment="1">
      <alignment horizontal="center"/>
    </xf>
    <xf numFmtId="0" fontId="21" fillId="0" borderId="0" xfId="0" applyFont="1"/>
    <xf numFmtId="0" fontId="10" fillId="0" borderId="63" xfId="0" applyFont="1" applyBorder="1"/>
    <xf numFmtId="0" fontId="10" fillId="0" borderId="36" xfId="0" applyFont="1" applyBorder="1"/>
    <xf numFmtId="0" fontId="10" fillId="0" borderId="65" xfId="0" applyFont="1" applyBorder="1"/>
    <xf numFmtId="0" fontId="10" fillId="0" borderId="38" xfId="0" applyFont="1" applyBorder="1"/>
    <xf numFmtId="4" fontId="10" fillId="0" borderId="0" xfId="0" applyNumberFormat="1" applyFont="1"/>
    <xf numFmtId="164" fontId="10" fillId="0" borderId="0" xfId="0" applyNumberFormat="1" applyFont="1"/>
    <xf numFmtId="0" fontId="47" fillId="0" borderId="90" xfId="0" applyFont="1" applyFill="1" applyBorder="1"/>
    <xf numFmtId="0" fontId="12" fillId="0" borderId="0" xfId="0" applyFont="1"/>
    <xf numFmtId="44" fontId="13" fillId="0" borderId="40" xfId="0" applyNumberFormat="1" applyFont="1" applyBorder="1" applyAlignment="1">
      <alignment horizontal="center"/>
    </xf>
    <xf numFmtId="0" fontId="18" fillId="0" borderId="16" xfId="1" applyNumberFormat="1" applyFont="1" applyBorder="1" applyAlignment="1">
      <alignment horizontal="center" vertical="center"/>
    </xf>
    <xf numFmtId="0" fontId="23" fillId="0" borderId="16" xfId="0" applyFont="1" applyBorder="1"/>
    <xf numFmtId="0" fontId="50" fillId="0" borderId="0" xfId="0" applyFont="1"/>
    <xf numFmtId="0" fontId="10" fillId="0" borderId="110" xfId="0" applyFont="1" applyBorder="1"/>
    <xf numFmtId="0" fontId="10" fillId="0" borderId="42" xfId="0" applyFont="1" applyBorder="1" applyAlignment="1">
      <alignment horizontal="center"/>
    </xf>
    <xf numFmtId="0" fontId="10" fillId="0" borderId="52" xfId="0" applyFont="1" applyBorder="1"/>
    <xf numFmtId="0" fontId="10" fillId="0" borderId="73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21" fillId="0" borderId="110" xfId="0" applyFont="1" applyBorder="1" applyAlignment="1">
      <alignment horizontal="right"/>
    </xf>
    <xf numFmtId="0" fontId="21" fillId="0" borderId="42" xfId="0" applyFont="1" applyBorder="1" applyAlignment="1">
      <alignment horizontal="center"/>
    </xf>
    <xf numFmtId="0" fontId="21" fillId="0" borderId="52" xfId="0" applyFont="1" applyBorder="1" applyAlignment="1">
      <alignment horizontal="right"/>
    </xf>
    <xf numFmtId="0" fontId="21" fillId="0" borderId="73" xfId="0" applyFont="1" applyBorder="1" applyAlignment="1">
      <alignment horizontal="center"/>
    </xf>
    <xf numFmtId="0" fontId="21" fillId="0" borderId="43" xfId="0" applyFont="1" applyBorder="1" applyAlignment="1">
      <alignment horizontal="right"/>
    </xf>
    <xf numFmtId="0" fontId="21" fillId="0" borderId="45" xfId="0" applyFont="1" applyBorder="1" applyAlignment="1">
      <alignment horizontal="center"/>
    </xf>
    <xf numFmtId="0" fontId="10" fillId="0" borderId="42" xfId="0" applyFont="1" applyBorder="1"/>
    <xf numFmtId="0" fontId="10" fillId="0" borderId="73" xfId="0" applyFont="1" applyBorder="1"/>
    <xf numFmtId="0" fontId="10" fillId="0" borderId="43" xfId="0" applyFont="1" applyBorder="1"/>
    <xf numFmtId="0" fontId="10" fillId="0" borderId="45" xfId="0" applyFont="1" applyBorder="1"/>
    <xf numFmtId="0" fontId="10" fillId="0" borderId="52" xfId="0" applyFont="1" applyBorder="1" applyAlignment="1">
      <alignment horizontal="center"/>
    </xf>
    <xf numFmtId="0" fontId="13" fillId="0" borderId="16" xfId="0" applyFont="1" applyFill="1" applyBorder="1" applyAlignment="1">
      <alignment horizontal="center" vertical="center"/>
    </xf>
    <xf numFmtId="44" fontId="23" fillId="0" borderId="16" xfId="0" applyNumberFormat="1" applyFont="1" applyFill="1" applyBorder="1"/>
    <xf numFmtId="43" fontId="10" fillId="0" borderId="64" xfId="0" applyNumberFormat="1" applyFont="1" applyBorder="1"/>
    <xf numFmtId="0" fontId="10" fillId="0" borderId="24" xfId="0" applyFont="1" applyFill="1" applyBorder="1"/>
    <xf numFmtId="0" fontId="10" fillId="0" borderId="8" xfId="0" applyFont="1" applyFill="1" applyBorder="1"/>
    <xf numFmtId="44" fontId="10" fillId="0" borderId="2" xfId="0" applyNumberFormat="1" applyFont="1" applyFill="1" applyBorder="1"/>
    <xf numFmtId="0" fontId="10" fillId="0" borderId="95" xfId="0" applyFont="1" applyBorder="1"/>
    <xf numFmtId="0" fontId="10" fillId="0" borderId="89" xfId="0" applyFont="1" applyBorder="1"/>
    <xf numFmtId="43" fontId="10" fillId="0" borderId="96" xfId="0" applyNumberFormat="1" applyFont="1" applyBorder="1"/>
    <xf numFmtId="0" fontId="10" fillId="0" borderId="97" xfId="0" applyFont="1" applyFill="1" applyBorder="1"/>
    <xf numFmtId="0" fontId="10" fillId="0" borderId="102" xfId="0" applyFont="1" applyFill="1" applyBorder="1"/>
    <xf numFmtId="0" fontId="10" fillId="0" borderId="106" xfId="0" applyFont="1" applyFill="1" applyBorder="1"/>
    <xf numFmtId="0" fontId="10" fillId="0" borderId="99" xfId="0" applyFont="1" applyBorder="1"/>
    <xf numFmtId="0" fontId="10" fillId="0" borderId="100" xfId="0" applyFont="1" applyBorder="1"/>
    <xf numFmtId="43" fontId="10" fillId="0" borderId="101" xfId="0" applyNumberFormat="1" applyFont="1" applyBorder="1"/>
    <xf numFmtId="42" fontId="10" fillId="0" borderId="26" xfId="0" applyNumberFormat="1" applyFont="1" applyBorder="1"/>
    <xf numFmtId="0" fontId="23" fillId="0" borderId="20" xfId="0" applyFont="1" applyFill="1" applyBorder="1"/>
    <xf numFmtId="0" fontId="13" fillId="0" borderId="70" xfId="0" applyFont="1" applyBorder="1" applyAlignment="1">
      <alignment horizontal="center"/>
    </xf>
    <xf numFmtId="44" fontId="13" fillId="0" borderId="74" xfId="0" applyNumberFormat="1" applyFont="1" applyBorder="1" applyAlignment="1">
      <alignment horizontal="center"/>
    </xf>
    <xf numFmtId="0" fontId="23" fillId="0" borderId="4" xfId="0" applyFont="1" applyBorder="1" applyAlignment="1">
      <alignment horizontal="left"/>
    </xf>
    <xf numFmtId="0" fontId="13" fillId="0" borderId="43" xfId="0" applyFont="1" applyFill="1" applyBorder="1" applyAlignment="1">
      <alignment horizontal="right"/>
    </xf>
    <xf numFmtId="0" fontId="23" fillId="0" borderId="23" xfId="0" applyFont="1" applyFill="1" applyBorder="1"/>
    <xf numFmtId="0" fontId="23" fillId="0" borderId="22" xfId="0" applyFont="1" applyBorder="1" applyAlignment="1">
      <alignment horizontal="left" vertical="center"/>
    </xf>
    <xf numFmtId="0" fontId="13" fillId="0" borderId="20" xfId="0" applyFont="1" applyBorder="1" applyAlignment="1">
      <alignment vertical="center" wrapText="1"/>
    </xf>
    <xf numFmtId="44" fontId="13" fillId="0" borderId="30" xfId="1" applyNumberFormat="1" applyFont="1" applyBorder="1" applyAlignment="1">
      <alignment horizontal="left"/>
    </xf>
    <xf numFmtId="44" fontId="13" fillId="0" borderId="30" xfId="0" applyNumberFormat="1" applyFont="1" applyBorder="1"/>
    <xf numFmtId="44" fontId="13" fillId="0" borderId="31" xfId="0" applyNumberFormat="1" applyFont="1" applyBorder="1"/>
    <xf numFmtId="0" fontId="13" fillId="0" borderId="47" xfId="0" applyFont="1" applyBorder="1"/>
    <xf numFmtId="0" fontId="51" fillId="0" borderId="0" xfId="0" applyFont="1"/>
    <xf numFmtId="44" fontId="13" fillId="0" borderId="46" xfId="0" applyNumberFormat="1" applyFont="1" applyBorder="1"/>
    <xf numFmtId="0" fontId="13" fillId="0" borderId="52" xfId="0" applyFont="1" applyBorder="1"/>
    <xf numFmtId="0" fontId="13" fillId="0" borderId="20" xfId="0" applyFont="1" applyFill="1" applyBorder="1" applyAlignment="1">
      <alignment vertical="top"/>
    </xf>
    <xf numFmtId="0" fontId="13" fillId="0" borderId="20" xfId="0" applyFont="1" applyFill="1" applyBorder="1" applyAlignment="1">
      <alignment vertical="top" wrapText="1"/>
    </xf>
    <xf numFmtId="44" fontId="13" fillId="0" borderId="85" xfId="1" applyNumberFormat="1" applyFont="1" applyBorder="1" applyAlignment="1"/>
    <xf numFmtId="0" fontId="23" fillId="0" borderId="16" xfId="0" applyFont="1" applyFill="1" applyBorder="1" applyAlignment="1">
      <alignment horizontal="left" vertical="top"/>
    </xf>
    <xf numFmtId="0" fontId="23" fillId="0" borderId="19" xfId="0" applyFont="1" applyBorder="1" applyAlignment="1">
      <alignment horizontal="left"/>
    </xf>
    <xf numFmtId="44" fontId="23" fillId="0" borderId="19" xfId="0" applyNumberFormat="1" applyFont="1" applyBorder="1"/>
    <xf numFmtId="44" fontId="35" fillId="0" borderId="16" xfId="0" applyNumberFormat="1" applyFont="1" applyBorder="1"/>
    <xf numFmtId="44" fontId="35" fillId="0" borderId="19" xfId="0" applyNumberFormat="1" applyFont="1" applyBorder="1"/>
    <xf numFmtId="0" fontId="13" fillId="0" borderId="19" xfId="0" applyFont="1" applyBorder="1" applyAlignment="1">
      <alignment horizontal="left"/>
    </xf>
    <xf numFmtId="44" fontId="13" fillId="0" borderId="76" xfId="0" applyNumberFormat="1" applyFont="1" applyBorder="1" applyAlignment="1">
      <alignment horizontal="center"/>
    </xf>
    <xf numFmtId="44" fontId="10" fillId="0" borderId="79" xfId="0" applyNumberFormat="1" applyFont="1" applyBorder="1" applyAlignment="1">
      <alignment horizontal="center"/>
    </xf>
    <xf numFmtId="44" fontId="10" fillId="0" borderId="26" xfId="0" applyNumberFormat="1" applyFont="1" applyBorder="1" applyAlignment="1">
      <alignment horizontal="center"/>
    </xf>
    <xf numFmtId="0" fontId="22" fillId="0" borderId="16" xfId="0" applyFont="1" applyBorder="1" applyAlignment="1"/>
    <xf numFmtId="0" fontId="27" fillId="0" borderId="52" xfId="0" applyFont="1" applyBorder="1"/>
    <xf numFmtId="44" fontId="13" fillId="0" borderId="26" xfId="1" applyNumberFormat="1" applyFont="1" applyBorder="1" applyAlignment="1">
      <alignment horizontal="center"/>
    </xf>
    <xf numFmtId="0" fontId="29" fillId="0" borderId="16" xfId="0" applyFont="1" applyBorder="1" applyAlignment="1">
      <alignment horizontal="center"/>
    </xf>
    <xf numFmtId="44" fontId="10" fillId="0" borderId="3" xfId="0" applyNumberFormat="1" applyFont="1" applyFill="1" applyBorder="1"/>
    <xf numFmtId="44" fontId="10" fillId="0" borderId="24" xfId="0" applyNumberFormat="1" applyFont="1" applyFill="1" applyBorder="1"/>
    <xf numFmtId="44" fontId="10" fillId="0" borderId="6" xfId="0" applyNumberFormat="1" applyFont="1" applyFill="1" applyBorder="1"/>
    <xf numFmtId="0" fontId="52" fillId="0" borderId="0" xfId="0" applyFont="1"/>
    <xf numFmtId="0" fontId="10" fillId="0" borderId="112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109" xfId="0" applyFont="1" applyBorder="1" applyAlignment="1">
      <alignment horizontal="center"/>
    </xf>
    <xf numFmtId="44" fontId="13" fillId="0" borderId="26" xfId="0" applyNumberFormat="1" applyFont="1" applyBorder="1" applyAlignment="1">
      <alignment horizontal="center"/>
    </xf>
    <xf numFmtId="0" fontId="18" fillId="0" borderId="40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44" fontId="13" fillId="0" borderId="3" xfId="0" applyNumberFormat="1" applyFont="1" applyBorder="1" applyAlignment="1">
      <alignment horizontal="center" vertical="center"/>
    </xf>
    <xf numFmtId="44" fontId="13" fillId="0" borderId="2" xfId="0" applyNumberFormat="1" applyFont="1" applyBorder="1" applyAlignment="1">
      <alignment horizontal="center" vertical="center"/>
    </xf>
    <xf numFmtId="44" fontId="13" fillId="0" borderId="2" xfId="0" applyNumberFormat="1" applyFont="1" applyFill="1" applyBorder="1" applyAlignment="1">
      <alignment horizontal="center" vertical="center"/>
    </xf>
    <xf numFmtId="44" fontId="23" fillId="0" borderId="3" xfId="0" applyNumberFormat="1" applyFont="1" applyBorder="1" applyAlignment="1">
      <alignment horizontal="center" vertical="center"/>
    </xf>
    <xf numFmtId="0" fontId="10" fillId="0" borderId="11" xfId="0" applyFont="1" applyFill="1" applyBorder="1"/>
    <xf numFmtId="0" fontId="10" fillId="7" borderId="0" xfId="0" applyFont="1" applyFill="1"/>
    <xf numFmtId="44" fontId="12" fillId="0" borderId="39" xfId="0" applyNumberFormat="1" applyFont="1" applyBorder="1" applyAlignment="1">
      <alignment horizontal="right"/>
    </xf>
    <xf numFmtId="0" fontId="10" fillId="0" borderId="108" xfId="0" applyFont="1" applyFill="1" applyBorder="1"/>
    <xf numFmtId="0" fontId="10" fillId="0" borderId="104" xfId="0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23" fillId="0" borderId="22" xfId="0" applyFont="1" applyFill="1" applyBorder="1"/>
    <xf numFmtId="0" fontId="13" fillId="0" borderId="74" xfId="0" applyFont="1" applyBorder="1" applyAlignment="1">
      <alignment horizontal="center" vertical="center"/>
    </xf>
    <xf numFmtId="43" fontId="10" fillId="0" borderId="98" xfId="0" applyNumberFormat="1" applyFont="1" applyFill="1" applyBorder="1"/>
    <xf numFmtId="44" fontId="13" fillId="0" borderId="30" xfId="1" applyNumberFormat="1" applyFont="1" applyFill="1" applyBorder="1"/>
    <xf numFmtId="44" fontId="10" fillId="0" borderId="26" xfId="0" applyNumberFormat="1" applyFont="1" applyBorder="1"/>
    <xf numFmtId="43" fontId="10" fillId="0" borderId="103" xfId="0" applyNumberFormat="1" applyFont="1" applyFill="1" applyBorder="1"/>
    <xf numFmtId="43" fontId="10" fillId="0" borderId="107" xfId="0" applyNumberFormat="1" applyFont="1" applyFill="1" applyBorder="1"/>
    <xf numFmtId="43" fontId="10" fillId="0" borderId="105" xfId="0" applyNumberFormat="1" applyFont="1" applyFill="1" applyBorder="1"/>
    <xf numFmtId="44" fontId="13" fillId="0" borderId="16" xfId="0" applyNumberFormat="1" applyFont="1" applyBorder="1" applyAlignment="1">
      <alignment vertical="center"/>
    </xf>
    <xf numFmtId="0" fontId="13" fillId="3" borderId="26" xfId="0" applyFont="1" applyFill="1" applyBorder="1" applyAlignment="1">
      <alignment horizontal="center"/>
    </xf>
    <xf numFmtId="0" fontId="19" fillId="3" borderId="26" xfId="0" applyFont="1" applyFill="1" applyBorder="1" applyAlignment="1">
      <alignment horizontal="center"/>
    </xf>
    <xf numFmtId="44" fontId="50" fillId="0" borderId="2" xfId="0" applyNumberFormat="1" applyFont="1" applyFill="1" applyBorder="1"/>
    <xf numFmtId="0" fontId="13" fillId="0" borderId="69" xfId="0" applyFont="1" applyBorder="1" applyAlignment="1">
      <alignment horizontal="left"/>
    </xf>
    <xf numFmtId="44" fontId="13" fillId="0" borderId="69" xfId="1" applyFont="1" applyBorder="1"/>
    <xf numFmtId="0" fontId="18" fillId="0" borderId="19" xfId="0" applyFont="1" applyBorder="1" applyAlignment="1">
      <alignment horizontal="center"/>
    </xf>
    <xf numFmtId="0" fontId="18" fillId="0" borderId="19" xfId="1" applyNumberFormat="1" applyFont="1" applyBorder="1" applyAlignment="1">
      <alignment horizontal="center"/>
    </xf>
    <xf numFmtId="44" fontId="16" fillId="0" borderId="2" xfId="1" applyNumberFormat="1" applyFont="1" applyFill="1" applyBorder="1"/>
    <xf numFmtId="0" fontId="23" fillId="0" borderId="20" xfId="0" applyFont="1" applyBorder="1" applyAlignment="1">
      <alignment wrapText="1"/>
    </xf>
    <xf numFmtId="0" fontId="23" fillId="0" borderId="20" xfId="0" applyFont="1" applyBorder="1" applyAlignment="1">
      <alignment horizontal="center"/>
    </xf>
    <xf numFmtId="0" fontId="23" fillId="0" borderId="20" xfId="0" applyFont="1" applyBorder="1"/>
    <xf numFmtId="0" fontId="23" fillId="0" borderId="46" xfId="0" applyFont="1" applyBorder="1" applyAlignment="1">
      <alignment horizontal="left"/>
    </xf>
    <xf numFmtId="44" fontId="13" fillId="0" borderId="1" xfId="0" applyNumberFormat="1" applyFont="1" applyBorder="1" applyAlignment="1">
      <alignment horizontal="left" vertical="center"/>
    </xf>
    <xf numFmtId="0" fontId="10" fillId="0" borderId="71" xfId="0" applyFont="1" applyFill="1" applyBorder="1"/>
    <xf numFmtId="166" fontId="10" fillId="0" borderId="1" xfId="0" applyNumberFormat="1" applyFont="1" applyFill="1" applyBorder="1" applyAlignment="1">
      <alignment horizontal="right"/>
    </xf>
    <xf numFmtId="166" fontId="10" fillId="0" borderId="20" xfId="0" applyNumberFormat="1" applyFont="1" applyFill="1" applyBorder="1" applyAlignment="1">
      <alignment horizontal="right"/>
    </xf>
    <xf numFmtId="44" fontId="10" fillId="0" borderId="33" xfId="0" applyNumberFormat="1" applyFont="1" applyBorder="1"/>
    <xf numFmtId="44" fontId="10" fillId="0" borderId="0" xfId="0" applyNumberFormat="1" applyFont="1" applyFill="1"/>
    <xf numFmtId="44" fontId="10" fillId="0" borderId="0" xfId="0" applyNumberFormat="1" applyFont="1" applyBorder="1"/>
    <xf numFmtId="44" fontId="10" fillId="0" borderId="0" xfId="0" applyNumberFormat="1" applyFont="1" applyFill="1" applyBorder="1"/>
    <xf numFmtId="0" fontId="49" fillId="0" borderId="0" xfId="0" applyFont="1" applyFill="1" applyBorder="1"/>
    <xf numFmtId="9" fontId="49" fillId="2" borderId="0" xfId="0" applyNumberFormat="1" applyFont="1" applyFill="1" applyBorder="1"/>
    <xf numFmtId="8" fontId="49" fillId="2" borderId="0" xfId="0" applyNumberFormat="1" applyFont="1" applyFill="1" applyBorder="1"/>
    <xf numFmtId="0" fontId="49" fillId="2" borderId="0" xfId="0" applyFont="1" applyFill="1" applyBorder="1"/>
    <xf numFmtId="0" fontId="10" fillId="2" borderId="0" xfId="0" applyFont="1" applyFill="1" applyBorder="1"/>
    <xf numFmtId="8" fontId="10" fillId="0" borderId="0" xfId="0" applyNumberFormat="1" applyFont="1" applyBorder="1"/>
    <xf numFmtId="0" fontId="10" fillId="0" borderId="1" xfId="0" applyFont="1" applyFill="1" applyBorder="1" applyAlignment="1">
      <alignment wrapText="1"/>
    </xf>
    <xf numFmtId="44" fontId="10" fillId="0" borderId="57" xfId="0" applyNumberFormat="1" applyFont="1" applyBorder="1"/>
    <xf numFmtId="44" fontId="12" fillId="0" borderId="3" xfId="0" applyNumberFormat="1" applyFont="1" applyFill="1" applyBorder="1"/>
    <xf numFmtId="44" fontId="10" fillId="0" borderId="3" xfId="0" applyNumberFormat="1" applyFont="1" applyFill="1" applyBorder="1" applyAlignment="1">
      <alignment horizontal="center"/>
    </xf>
    <xf numFmtId="44" fontId="10" fillId="0" borderId="58" xfId="0" applyNumberFormat="1" applyFont="1" applyFill="1" applyBorder="1"/>
    <xf numFmtId="44" fontId="10" fillId="0" borderId="60" xfId="0" applyNumberFormat="1" applyFont="1" applyBorder="1"/>
    <xf numFmtId="0" fontId="10" fillId="0" borderId="28" xfId="0" applyFont="1" applyBorder="1"/>
    <xf numFmtId="0" fontId="10" fillId="0" borderId="4" xfId="0" applyFont="1" applyBorder="1"/>
    <xf numFmtId="0" fontId="10" fillId="0" borderId="53" xfId="0" applyFont="1" applyBorder="1"/>
    <xf numFmtId="0" fontId="10" fillId="0" borderId="72" xfId="0" applyFont="1" applyBorder="1"/>
    <xf numFmtId="0" fontId="12" fillId="0" borderId="72" xfId="0" applyFont="1" applyBorder="1"/>
    <xf numFmtId="0" fontId="10" fillId="0" borderId="114" xfId="0" applyFont="1" applyBorder="1"/>
    <xf numFmtId="0" fontId="10" fillId="0" borderId="29" xfId="0" applyFont="1" applyBorder="1"/>
    <xf numFmtId="0" fontId="21" fillId="0" borderId="3" xfId="0" applyFont="1" applyBorder="1" applyAlignment="1">
      <alignment horizontal="right"/>
    </xf>
    <xf numFmtId="0" fontId="21" fillId="0" borderId="24" xfId="0" applyFont="1" applyBorder="1" applyAlignment="1">
      <alignment horizontal="right"/>
    </xf>
    <xf numFmtId="0" fontId="16" fillId="3" borderId="32" xfId="0" applyFont="1" applyFill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9" fontId="10" fillId="0" borderId="0" xfId="0" applyNumberFormat="1" applyFont="1" applyFill="1"/>
    <xf numFmtId="44" fontId="13" fillId="0" borderId="16" xfId="0" applyNumberFormat="1" applyFont="1" applyFill="1" applyBorder="1" applyAlignment="1">
      <alignment horizontal="center"/>
    </xf>
    <xf numFmtId="44" fontId="13" fillId="0" borderId="16" xfId="0" applyNumberFormat="1" applyFont="1" applyFill="1" applyBorder="1" applyAlignment="1">
      <alignment vertical="center"/>
    </xf>
    <xf numFmtId="44" fontId="13" fillId="0" borderId="16" xfId="1" applyFont="1" applyFill="1" applyBorder="1"/>
    <xf numFmtId="42" fontId="0" fillId="0" borderId="13" xfId="0" applyNumberFormat="1" applyBorder="1"/>
    <xf numFmtId="42" fontId="43" fillId="0" borderId="82" xfId="1" applyNumberFormat="1" applyFont="1" applyFill="1" applyBorder="1"/>
    <xf numFmtId="0" fontId="2" fillId="0" borderId="0" xfId="2" applyFont="1" applyBorder="1"/>
    <xf numFmtId="0" fontId="10" fillId="0" borderId="115" xfId="0" applyFont="1" applyFill="1" applyBorder="1"/>
    <xf numFmtId="0" fontId="10" fillId="0" borderId="90" xfId="0" applyFont="1" applyFill="1" applyBorder="1"/>
    <xf numFmtId="43" fontId="10" fillId="0" borderId="120" xfId="0" applyNumberFormat="1" applyFont="1" applyFill="1" applyBorder="1"/>
    <xf numFmtId="1" fontId="10" fillId="0" borderId="3" xfId="0" applyNumberFormat="1" applyFont="1" applyFill="1" applyBorder="1"/>
    <xf numFmtId="1" fontId="10" fillId="0" borderId="3" xfId="0" applyNumberFormat="1" applyFont="1" applyBorder="1"/>
    <xf numFmtId="1" fontId="10" fillId="0" borderId="90" xfId="0" applyNumberFormat="1" applyFont="1" applyBorder="1"/>
    <xf numFmtId="2" fontId="10" fillId="0" borderId="3" xfId="0" applyNumberFormat="1" applyFont="1" applyFill="1" applyBorder="1"/>
    <xf numFmtId="2" fontId="10" fillId="0" borderId="11" xfId="0" applyNumberFormat="1" applyFont="1" applyFill="1" applyBorder="1"/>
    <xf numFmtId="2" fontId="10" fillId="0" borderId="11" xfId="0" applyNumberFormat="1" applyFont="1" applyBorder="1"/>
    <xf numFmtId="2" fontId="10" fillId="0" borderId="90" xfId="0" applyNumberFormat="1" applyFont="1" applyBorder="1"/>
    <xf numFmtId="164" fontId="10" fillId="0" borderId="35" xfId="0" applyNumberFormat="1" applyFont="1" applyBorder="1"/>
    <xf numFmtId="164" fontId="10" fillId="0" borderId="91" xfId="0" applyNumberFormat="1" applyFont="1" applyBorder="1"/>
    <xf numFmtId="3" fontId="10" fillId="0" borderId="35" xfId="0" applyNumberFormat="1" applyFont="1" applyBorder="1"/>
    <xf numFmtId="44" fontId="13" fillId="0" borderId="22" xfId="1" applyNumberFormat="1" applyFont="1" applyBorder="1" applyAlignment="1">
      <alignment horizontal="left"/>
    </xf>
    <xf numFmtId="44" fontId="13" fillId="0" borderId="30" xfId="1" applyNumberFormat="1" applyFont="1" applyBorder="1"/>
    <xf numFmtId="0" fontId="13" fillId="0" borderId="31" xfId="0" applyFont="1" applyBorder="1"/>
    <xf numFmtId="0" fontId="18" fillId="3" borderId="32" xfId="0" applyFont="1" applyFill="1" applyBorder="1" applyAlignment="1">
      <alignment horizontal="center"/>
    </xf>
    <xf numFmtId="0" fontId="19" fillId="3" borderId="32" xfId="0" applyFont="1" applyFill="1" applyBorder="1" applyAlignment="1">
      <alignment horizontal="center"/>
    </xf>
    <xf numFmtId="0" fontId="19" fillId="3" borderId="28" xfId="0" applyFont="1" applyFill="1" applyBorder="1" applyAlignment="1">
      <alignment horizontal="center"/>
    </xf>
    <xf numFmtId="0" fontId="18" fillId="3" borderId="28" xfId="0" applyFont="1" applyFill="1" applyBorder="1" applyAlignment="1">
      <alignment horizontal="center"/>
    </xf>
    <xf numFmtId="0" fontId="13" fillId="0" borderId="40" xfId="0" applyFont="1" applyBorder="1" applyAlignment="1">
      <alignment horizontal="left"/>
    </xf>
    <xf numFmtId="0" fontId="16" fillId="0" borderId="3" xfId="0" applyFont="1" applyFill="1" applyBorder="1"/>
    <xf numFmtId="44" fontId="13" fillId="0" borderId="16" xfId="1" applyNumberFormat="1" applyFont="1" applyFill="1" applyBorder="1" applyAlignment="1">
      <alignment horizontal="left"/>
    </xf>
    <xf numFmtId="0" fontId="10" fillId="0" borderId="68" xfId="0" applyFont="1" applyFill="1" applyBorder="1" applyAlignment="1">
      <alignment horizontal="center"/>
    </xf>
    <xf numFmtId="44" fontId="10" fillId="0" borderId="68" xfId="0" applyNumberFormat="1" applyFont="1" applyFill="1" applyBorder="1" applyAlignment="1">
      <alignment horizontal="center"/>
    </xf>
    <xf numFmtId="164" fontId="0" fillId="0" borderId="68" xfId="0" applyNumberFormat="1" applyFill="1" applyBorder="1" applyAlignment="1">
      <alignment horizontal="center"/>
    </xf>
    <xf numFmtId="0" fontId="0" fillId="0" borderId="39" xfId="0" applyFill="1" applyBorder="1" applyAlignment="1">
      <alignment horizontal="center"/>
    </xf>
    <xf numFmtId="0" fontId="0" fillId="0" borderId="122" xfId="0" applyFill="1" applyBorder="1" applyAlignment="1">
      <alignment horizontal="center"/>
    </xf>
    <xf numFmtId="0" fontId="0" fillId="0" borderId="48" xfId="0" applyFill="1" applyBorder="1" applyAlignment="1">
      <alignment horizontal="center"/>
    </xf>
    <xf numFmtId="0" fontId="0" fillId="0" borderId="123" xfId="0" applyFill="1" applyBorder="1" applyAlignment="1">
      <alignment horizontal="center"/>
    </xf>
    <xf numFmtId="44" fontId="51" fillId="8" borderId="15" xfId="0" applyNumberFormat="1" applyFont="1" applyFill="1" applyBorder="1"/>
    <xf numFmtId="44" fontId="10" fillId="8" borderId="2" xfId="0" applyNumberFormat="1" applyFont="1" applyFill="1" applyBorder="1"/>
    <xf numFmtId="43" fontId="10" fillId="8" borderId="98" xfId="0" applyNumberFormat="1" applyFont="1" applyFill="1" applyBorder="1"/>
    <xf numFmtId="43" fontId="10" fillId="8" borderId="116" xfId="0" applyNumberFormat="1" applyFont="1" applyFill="1" applyBorder="1"/>
    <xf numFmtId="44" fontId="13" fillId="0" borderId="0" xfId="0" applyNumberFormat="1" applyFont="1" applyBorder="1"/>
    <xf numFmtId="0" fontId="13" fillId="0" borderId="30" xfId="0" applyFont="1" applyBorder="1" applyAlignment="1">
      <alignment horizontal="left"/>
    </xf>
    <xf numFmtId="1" fontId="10" fillId="3" borderId="3" xfId="0" applyNumberFormat="1" applyFont="1" applyFill="1" applyBorder="1"/>
    <xf numFmtId="2" fontId="10" fillId="3" borderId="3" xfId="0" applyNumberFormat="1" applyFont="1" applyFill="1" applyBorder="1"/>
    <xf numFmtId="166" fontId="10" fillId="0" borderId="1" xfId="0" applyNumberFormat="1" applyFont="1" applyFill="1" applyBorder="1"/>
    <xf numFmtId="0" fontId="13" fillId="0" borderId="1" xfId="0" applyFont="1" applyBorder="1"/>
    <xf numFmtId="44" fontId="13" fillId="0" borderId="76" xfId="0" applyNumberFormat="1" applyFont="1" applyFill="1" applyBorder="1"/>
    <xf numFmtId="0" fontId="5" fillId="0" borderId="47" xfId="0" applyFont="1" applyFill="1" applyBorder="1" applyAlignment="1"/>
    <xf numFmtId="44" fontId="5" fillId="0" borderId="49" xfId="0" applyNumberFormat="1" applyFont="1" applyFill="1" applyBorder="1" applyAlignment="1"/>
    <xf numFmtId="2" fontId="10" fillId="3" borderId="11" xfId="0" applyNumberFormat="1" applyFont="1" applyFill="1" applyBorder="1"/>
    <xf numFmtId="42" fontId="0" fillId="0" borderId="0" xfId="0" applyNumberFormat="1" applyBorder="1"/>
    <xf numFmtId="42" fontId="43" fillId="0" borderId="2" xfId="1" quotePrefix="1" applyNumberFormat="1" applyFont="1" applyFill="1" applyBorder="1"/>
    <xf numFmtId="42" fontId="43" fillId="0" borderId="15" xfId="1" applyNumberFormat="1" applyFont="1" applyFill="1" applyBorder="1"/>
    <xf numFmtId="42" fontId="43" fillId="0" borderId="33" xfId="1" applyNumberFormat="1" applyFont="1" applyFill="1" applyBorder="1"/>
    <xf numFmtId="42" fontId="43" fillId="0" borderId="2" xfId="1" applyNumberFormat="1" applyFont="1" applyFill="1" applyBorder="1" applyAlignment="1">
      <alignment horizontal="right"/>
    </xf>
    <xf numFmtId="42" fontId="43" fillId="0" borderId="2" xfId="1" applyNumberFormat="1" applyFont="1" applyFill="1" applyBorder="1"/>
    <xf numFmtId="42" fontId="43" fillId="0" borderId="7" xfId="1" applyNumberFormat="1" applyFont="1" applyFill="1" applyBorder="1"/>
    <xf numFmtId="42" fontId="31" fillId="0" borderId="0" xfId="0" applyNumberFormat="1" applyFont="1"/>
    <xf numFmtId="42" fontId="0" fillId="0" borderId="111" xfId="0" applyNumberFormat="1" applyBorder="1" applyAlignment="1">
      <alignment vertical="center"/>
    </xf>
    <xf numFmtId="0" fontId="10" fillId="0" borderId="17" xfId="0" applyNumberFormat="1" applyFont="1" applyBorder="1" applyAlignment="1">
      <alignment horizontal="center"/>
    </xf>
    <xf numFmtId="42" fontId="43" fillId="0" borderId="48" xfId="0" applyNumberFormat="1" applyFont="1" applyBorder="1"/>
    <xf numFmtId="0" fontId="10" fillId="0" borderId="47" xfId="0" applyNumberFormat="1" applyFont="1" applyBorder="1" applyAlignment="1">
      <alignment horizontal="center"/>
    </xf>
    <xf numFmtId="0" fontId="10" fillId="0" borderId="48" xfId="0" applyFont="1" applyBorder="1"/>
    <xf numFmtId="44" fontId="10" fillId="0" borderId="3" xfId="0" applyNumberFormat="1" applyFont="1" applyBorder="1"/>
    <xf numFmtId="0" fontId="22" fillId="0" borderId="3" xfId="0" applyFont="1" applyBorder="1" applyAlignment="1">
      <alignment horizontal="center"/>
    </xf>
    <xf numFmtId="2" fontId="10" fillId="0" borderId="3" xfId="0" applyNumberFormat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13" xfId="0" applyFont="1" applyBorder="1"/>
    <xf numFmtId="0" fontId="10" fillId="0" borderId="0" xfId="0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0" xfId="0" applyFont="1" applyFill="1" applyBorder="1" applyAlignment="1"/>
    <xf numFmtId="0" fontId="9" fillId="0" borderId="0" xfId="0" applyFont="1" applyFill="1" applyBorder="1" applyAlignment="1">
      <alignment horizontal="left"/>
    </xf>
    <xf numFmtId="0" fontId="55" fillId="0" borderId="0" xfId="0" applyFont="1"/>
    <xf numFmtId="42" fontId="55" fillId="0" borderId="13" xfId="0" applyNumberFormat="1" applyFont="1" applyBorder="1"/>
    <xf numFmtId="42" fontId="55" fillId="0" borderId="0" xfId="0" applyNumberFormat="1" applyFont="1" applyFill="1" applyBorder="1" applyAlignment="1">
      <alignment horizontal="left"/>
    </xf>
    <xf numFmtId="42" fontId="55" fillId="0" borderId="0" xfId="0" applyNumberFormat="1" applyFont="1"/>
    <xf numFmtId="42" fontId="54" fillId="0" borderId="124" xfId="0" applyNumberFormat="1" applyFont="1" applyBorder="1" applyAlignment="1">
      <alignment horizontal="left" vertical="center"/>
    </xf>
    <xf numFmtId="0" fontId="15" fillId="0" borderId="87" xfId="0" applyFont="1" applyBorder="1" applyAlignment="1">
      <alignment horizontal="left"/>
    </xf>
    <xf numFmtId="42" fontId="0" fillId="0" borderId="111" xfId="0" applyNumberFormat="1" applyBorder="1"/>
    <xf numFmtId="42" fontId="55" fillId="0" borderId="3" xfId="0" applyNumberFormat="1" applyFont="1" applyBorder="1" applyAlignment="1">
      <alignment horizontal="left"/>
    </xf>
    <xf numFmtId="42" fontId="55" fillId="0" borderId="3" xfId="0" applyNumberFormat="1" applyFont="1" applyFill="1" applyBorder="1" applyAlignment="1">
      <alignment horizontal="left"/>
    </xf>
    <xf numFmtId="42" fontId="55" fillId="0" borderId="3" xfId="0" applyNumberFormat="1" applyFont="1" applyFill="1" applyBorder="1" applyAlignment="1"/>
    <xf numFmtId="42" fontId="55" fillId="0" borderId="100" xfId="0" applyNumberFormat="1" applyFont="1" applyBorder="1" applyAlignment="1">
      <alignment horizontal="left" vertical="center"/>
    </xf>
    <xf numFmtId="42" fontId="55" fillId="0" borderId="6" xfId="0" applyNumberFormat="1" applyFont="1" applyBorder="1" applyAlignment="1">
      <alignment horizontal="left"/>
    </xf>
    <xf numFmtId="42" fontId="55" fillId="0" borderId="24" xfId="0" applyNumberFormat="1" applyFont="1" applyBorder="1" applyAlignment="1">
      <alignment horizontal="left"/>
    </xf>
    <xf numFmtId="42" fontId="55" fillId="0" borderId="24" xfId="0" applyNumberFormat="1" applyFont="1" applyFill="1" applyBorder="1" applyAlignment="1">
      <alignment horizontal="left"/>
    </xf>
    <xf numFmtId="42" fontId="55" fillId="0" borderId="6" xfId="0" applyNumberFormat="1" applyFont="1" applyFill="1" applyBorder="1" applyAlignment="1">
      <alignment horizontal="left"/>
    </xf>
    <xf numFmtId="44" fontId="13" fillId="0" borderId="16" xfId="1" applyNumberFormat="1" applyFont="1" applyFill="1" applyBorder="1" applyAlignment="1">
      <alignment horizontal="center"/>
    </xf>
    <xf numFmtId="44" fontId="13" fillId="0" borderId="19" xfId="1" applyFont="1" applyFill="1" applyBorder="1" applyAlignment="1">
      <alignment horizontal="left"/>
    </xf>
    <xf numFmtId="44" fontId="13" fillId="0" borderId="46" xfId="0" applyNumberFormat="1" applyFont="1" applyFill="1" applyBorder="1"/>
    <xf numFmtId="0" fontId="18" fillId="0" borderId="16" xfId="0" applyFont="1" applyFill="1" applyBorder="1" applyAlignment="1">
      <alignment horizontal="center" vertical="center"/>
    </xf>
    <xf numFmtId="42" fontId="55" fillId="0" borderId="48" xfId="0" applyNumberFormat="1" applyFont="1" applyBorder="1"/>
    <xf numFmtId="0" fontId="15" fillId="0" borderId="13" xfId="0" applyFont="1" applyBorder="1" applyAlignment="1">
      <alignment vertical="top"/>
    </xf>
    <xf numFmtId="42" fontId="55" fillId="0" borderId="13" xfId="0" applyNumberFormat="1" applyFont="1" applyBorder="1" applyAlignment="1">
      <alignment vertical="center"/>
    </xf>
    <xf numFmtId="42" fontId="55" fillId="0" borderId="8" xfId="0" applyNumberFormat="1" applyFont="1" applyFill="1" applyBorder="1" applyAlignment="1">
      <alignment horizontal="left"/>
    </xf>
    <xf numFmtId="0" fontId="6" fillId="0" borderId="26" xfId="2" applyFont="1" applyBorder="1" applyAlignment="1">
      <alignment horizontal="center"/>
    </xf>
    <xf numFmtId="0" fontId="5" fillId="0" borderId="26" xfId="2" applyFont="1" applyBorder="1" applyAlignment="1"/>
    <xf numFmtId="0" fontId="14" fillId="0" borderId="47" xfId="0" applyFont="1" applyBorder="1" applyAlignment="1">
      <alignment horizontal="center" vertical="center"/>
    </xf>
    <xf numFmtId="164" fontId="0" fillId="0" borderId="47" xfId="0" applyNumberFormat="1" applyBorder="1" applyAlignment="1">
      <alignment horizontal="center" vertical="center"/>
    </xf>
    <xf numFmtId="0" fontId="40" fillId="0" borderId="0" xfId="0" applyFont="1" applyAlignment="1"/>
    <xf numFmtId="0" fontId="10" fillId="0" borderId="125" xfId="0" applyFont="1" applyBorder="1" applyAlignment="1">
      <alignment horizontal="center"/>
    </xf>
    <xf numFmtId="0" fontId="22" fillId="0" borderId="126" xfId="0" applyFont="1" applyBorder="1" applyAlignment="1">
      <alignment horizontal="center"/>
    </xf>
    <xf numFmtId="44" fontId="10" fillId="0" borderId="122" xfId="0" applyNumberFormat="1" applyFont="1" applyFill="1" applyBorder="1" applyAlignment="1">
      <alignment horizontal="center"/>
    </xf>
    <xf numFmtId="0" fontId="10" fillId="0" borderId="122" xfId="0" applyFont="1" applyFill="1" applyBorder="1" applyAlignment="1">
      <alignment horizontal="center"/>
    </xf>
    <xf numFmtId="42" fontId="10" fillId="0" borderId="16" xfId="0" applyNumberFormat="1" applyFont="1" applyFill="1" applyBorder="1"/>
    <xf numFmtId="2" fontId="10" fillId="0" borderId="8" xfId="0" applyNumberFormat="1" applyFont="1" applyFill="1" applyBorder="1"/>
    <xf numFmtId="164" fontId="10" fillId="0" borderId="35" xfId="0" applyNumberFormat="1" applyFont="1" applyFill="1" applyBorder="1"/>
    <xf numFmtId="0" fontId="16" fillId="0" borderId="0" xfId="0" applyFont="1" applyFill="1" applyAlignment="1">
      <alignment horizontal="right"/>
    </xf>
    <xf numFmtId="2" fontId="0" fillId="0" borderId="0" xfId="0" applyNumberFormat="1"/>
    <xf numFmtId="164" fontId="5" fillId="0" borderId="26" xfId="2" applyNumberFormat="1" applyFont="1" applyBorder="1" applyAlignment="1">
      <alignment horizontal="center"/>
    </xf>
    <xf numFmtId="2" fontId="10" fillId="0" borderId="24" xfId="0" applyNumberFormat="1" applyFont="1" applyFill="1" applyBorder="1"/>
    <xf numFmtId="2" fontId="10" fillId="0" borderId="6" xfId="0" applyNumberFormat="1" applyFont="1" applyFill="1" applyBorder="1"/>
    <xf numFmtId="43" fontId="16" fillId="0" borderId="0" xfId="0" applyNumberFormat="1" applyFont="1" applyBorder="1"/>
    <xf numFmtId="0" fontId="19" fillId="3" borderId="25" xfId="0" applyFont="1" applyFill="1" applyBorder="1" applyAlignment="1">
      <alignment horizontal="center" vertical="center"/>
    </xf>
    <xf numFmtId="42" fontId="13" fillId="0" borderId="16" xfId="0" applyNumberFormat="1" applyFont="1" applyFill="1" applyBorder="1" applyAlignment="1">
      <alignment vertical="center"/>
    </xf>
    <xf numFmtId="42" fontId="13" fillId="0" borderId="16" xfId="0" applyNumberFormat="1" applyFont="1" applyBorder="1" applyAlignment="1">
      <alignment vertical="center"/>
    </xf>
    <xf numFmtId="42" fontId="13" fillId="0" borderId="16" xfId="0" applyNumberFormat="1" applyFont="1" applyBorder="1"/>
    <xf numFmtId="42" fontId="13" fillId="0" borderId="16" xfId="0" applyNumberFormat="1" applyFont="1" applyFill="1" applyBorder="1"/>
    <xf numFmtId="42" fontId="13" fillId="0" borderId="46" xfId="0" applyNumberFormat="1" applyFont="1" applyBorder="1"/>
    <xf numFmtId="42" fontId="13" fillId="0" borderId="46" xfId="0" applyNumberFormat="1" applyFont="1" applyFill="1" applyBorder="1"/>
    <xf numFmtId="42" fontId="13" fillId="0" borderId="26" xfId="0" applyNumberFormat="1" applyFont="1" applyBorder="1" applyAlignment="1">
      <alignment horizontal="center"/>
    </xf>
    <xf numFmtId="42" fontId="13" fillId="0" borderId="26" xfId="0" applyNumberFormat="1" applyFont="1" applyFill="1" applyBorder="1" applyAlignment="1">
      <alignment horizontal="center"/>
    </xf>
    <xf numFmtId="42" fontId="25" fillId="0" borderId="0" xfId="0" applyNumberFormat="1" applyFont="1" applyFill="1" applyBorder="1"/>
    <xf numFmtId="42" fontId="19" fillId="0" borderId="0" xfId="0" applyNumberFormat="1" applyFont="1" applyFill="1" applyBorder="1" applyAlignment="1">
      <alignment vertical="center"/>
    </xf>
    <xf numFmtId="42" fontId="19" fillId="0" borderId="0" xfId="0" applyNumberFormat="1" applyFont="1" applyFill="1" applyBorder="1"/>
    <xf numFmtId="42" fontId="19" fillId="0" borderId="0" xfId="0" applyNumberFormat="1" applyFont="1" applyBorder="1"/>
    <xf numFmtId="42" fontId="13" fillId="0" borderId="16" xfId="0" applyNumberFormat="1" applyFont="1" applyFill="1" applyBorder="1" applyAlignment="1">
      <alignment horizontal="center"/>
    </xf>
    <xf numFmtId="42" fontId="13" fillId="0" borderId="16" xfId="0" applyNumberFormat="1" applyFont="1" applyBorder="1" applyAlignment="1">
      <alignment horizontal="center"/>
    </xf>
    <xf numFmtId="42" fontId="13" fillId="0" borderId="19" xfId="0" applyNumberFormat="1" applyFont="1" applyBorder="1" applyAlignment="1">
      <alignment horizontal="center"/>
    </xf>
    <xf numFmtId="42" fontId="13" fillId="0" borderId="19" xfId="0" applyNumberFormat="1" applyFont="1" applyFill="1" applyBorder="1" applyAlignment="1">
      <alignment horizontal="center"/>
    </xf>
    <xf numFmtId="42" fontId="13" fillId="0" borderId="21" xfId="0" applyNumberFormat="1" applyFont="1" applyBorder="1" applyAlignment="1">
      <alignment horizontal="center"/>
    </xf>
    <xf numFmtId="42" fontId="13" fillId="0" borderId="21" xfId="0" applyNumberFormat="1" applyFont="1" applyFill="1" applyBorder="1" applyAlignment="1">
      <alignment horizontal="center"/>
    </xf>
    <xf numFmtId="42" fontId="16" fillId="0" borderId="0" xfId="0" applyNumberFormat="1" applyFont="1" applyBorder="1"/>
    <xf numFmtId="44" fontId="56" fillId="0" borderId="16" xfId="1" applyFont="1" applyBorder="1" applyAlignment="1">
      <alignment horizontal="center" wrapText="1"/>
    </xf>
    <xf numFmtId="44" fontId="56" fillId="0" borderId="20" xfId="1" applyFont="1" applyBorder="1" applyAlignment="1">
      <alignment horizontal="center" wrapText="1"/>
    </xf>
    <xf numFmtId="44" fontId="56" fillId="0" borderId="1" xfId="1" applyFont="1" applyBorder="1" applyAlignment="1">
      <alignment horizontal="center"/>
    </xf>
    <xf numFmtId="44" fontId="56" fillId="0" borderId="2" xfId="1" applyFont="1" applyBorder="1" applyAlignment="1">
      <alignment horizontal="center"/>
    </xf>
    <xf numFmtId="44" fontId="13" fillId="0" borderId="20" xfId="0" applyNumberFormat="1" applyFont="1" applyBorder="1" applyAlignment="1">
      <alignment horizontal="center"/>
    </xf>
    <xf numFmtId="42" fontId="13" fillId="0" borderId="20" xfId="0" applyNumberFormat="1" applyFont="1" applyBorder="1" applyAlignment="1">
      <alignment horizontal="center"/>
    </xf>
    <xf numFmtId="42" fontId="13" fillId="0" borderId="1" xfId="0" applyNumberFormat="1" applyFont="1" applyBorder="1" applyAlignment="1">
      <alignment horizontal="center"/>
    </xf>
    <xf numFmtId="42" fontId="13" fillId="0" borderId="2" xfId="0" applyNumberFormat="1" applyFont="1" applyBorder="1" applyAlignment="1">
      <alignment horizontal="center"/>
    </xf>
    <xf numFmtId="42" fontId="13" fillId="9" borderId="1" xfId="0" applyNumberFormat="1" applyFont="1" applyFill="1" applyBorder="1" applyAlignment="1">
      <alignment horizontal="center"/>
    </xf>
    <xf numFmtId="42" fontId="13" fillId="9" borderId="2" xfId="0" applyNumberFormat="1" applyFont="1" applyFill="1" applyBorder="1" applyAlignment="1">
      <alignment horizontal="center"/>
    </xf>
    <xf numFmtId="44" fontId="13" fillId="0" borderId="20" xfId="0" applyNumberFormat="1" applyFont="1" applyBorder="1"/>
    <xf numFmtId="42" fontId="13" fillId="0" borderId="0" xfId="0" applyNumberFormat="1" applyFont="1" applyBorder="1"/>
    <xf numFmtId="42" fontId="13" fillId="9" borderId="1" xfId="0" applyNumberFormat="1" applyFont="1" applyFill="1" applyBorder="1"/>
    <xf numFmtId="42" fontId="13" fillId="9" borderId="2" xfId="0" applyNumberFormat="1" applyFont="1" applyFill="1" applyBorder="1"/>
    <xf numFmtId="42" fontId="13" fillId="0" borderId="22" xfId="0" applyNumberFormat="1" applyFont="1" applyBorder="1" applyAlignment="1">
      <alignment horizontal="center" wrapText="1"/>
    </xf>
    <xf numFmtId="42" fontId="4" fillId="0" borderId="88" xfId="0" applyNumberFormat="1" applyFont="1" applyBorder="1" applyAlignment="1">
      <alignment horizontal="center" wrapText="1"/>
    </xf>
    <xf numFmtId="42" fontId="13" fillId="0" borderId="1" xfId="0" applyNumberFormat="1" applyFont="1" applyFill="1" applyBorder="1"/>
    <xf numFmtId="42" fontId="13" fillId="0" borderId="2" xfId="0" applyNumberFormat="1" applyFont="1" applyFill="1" applyBorder="1"/>
    <xf numFmtId="44" fontId="13" fillId="0" borderId="1" xfId="0" applyNumberFormat="1" applyFont="1" applyBorder="1"/>
    <xf numFmtId="42" fontId="13" fillId="0" borderId="1" xfId="0" applyNumberFormat="1" applyFont="1" applyBorder="1"/>
    <xf numFmtId="0" fontId="13" fillId="0" borderId="52" xfId="0" applyFont="1" applyBorder="1" applyAlignment="1"/>
    <xf numFmtId="44" fontId="13" fillId="0" borderId="40" xfId="0" applyNumberFormat="1" applyFont="1" applyBorder="1"/>
    <xf numFmtId="44" fontId="13" fillId="0" borderId="52" xfId="0" applyNumberFormat="1" applyFont="1" applyBorder="1"/>
    <xf numFmtId="42" fontId="13" fillId="0" borderId="52" xfId="0" applyNumberFormat="1" applyFont="1" applyBorder="1"/>
    <xf numFmtId="42" fontId="13" fillId="0" borderId="93" xfId="0" applyNumberFormat="1" applyFont="1" applyFill="1" applyBorder="1"/>
    <xf numFmtId="42" fontId="13" fillId="0" borderId="94" xfId="0" applyNumberFormat="1" applyFont="1" applyFill="1" applyBorder="1"/>
    <xf numFmtId="44" fontId="13" fillId="0" borderId="75" xfId="1" applyFont="1" applyBorder="1" applyAlignment="1">
      <alignment horizontal="center"/>
    </xf>
    <xf numFmtId="42" fontId="13" fillId="0" borderId="75" xfId="1" applyNumberFormat="1" applyFont="1" applyBorder="1" applyAlignment="1">
      <alignment horizontal="center"/>
    </xf>
    <xf numFmtId="42" fontId="13" fillId="0" borderId="92" xfId="1" applyNumberFormat="1" applyFont="1" applyFill="1" applyBorder="1" applyAlignment="1">
      <alignment horizontal="center"/>
    </xf>
    <xf numFmtId="42" fontId="13" fillId="0" borderId="55" xfId="1" applyNumberFormat="1" applyFont="1" applyFill="1" applyBorder="1" applyAlignment="1">
      <alignment horizontal="center"/>
    </xf>
    <xf numFmtId="42" fontId="27" fillId="0" borderId="16" xfId="0" applyNumberFormat="1" applyFont="1" applyBorder="1" applyAlignment="1">
      <alignment horizontal="center"/>
    </xf>
    <xf numFmtId="42" fontId="18" fillId="0" borderId="16" xfId="0" applyNumberFormat="1" applyFont="1" applyBorder="1" applyAlignment="1">
      <alignment horizontal="center"/>
    </xf>
    <xf numFmtId="42" fontId="13" fillId="0" borderId="40" xfId="0" applyNumberFormat="1" applyFont="1" applyBorder="1" applyAlignment="1">
      <alignment horizontal="center"/>
    </xf>
    <xf numFmtId="42" fontId="13" fillId="0" borderId="40" xfId="0" applyNumberFormat="1" applyFont="1" applyFill="1" applyBorder="1" applyAlignment="1">
      <alignment horizontal="center"/>
    </xf>
    <xf numFmtId="42" fontId="28" fillId="0" borderId="16" xfId="0" applyNumberFormat="1" applyFont="1" applyBorder="1" applyAlignment="1">
      <alignment horizontal="center"/>
    </xf>
    <xf numFmtId="42" fontId="10" fillId="0" borderId="16" xfId="0" applyNumberFormat="1" applyFont="1" applyBorder="1" applyAlignment="1">
      <alignment horizontal="center"/>
    </xf>
    <xf numFmtId="42" fontId="10" fillId="0" borderId="16" xfId="0" applyNumberFormat="1" applyFont="1" applyFill="1" applyBorder="1" applyAlignment="1">
      <alignment horizontal="center"/>
    </xf>
    <xf numFmtId="42" fontId="18" fillId="0" borderId="16" xfId="1" applyNumberFormat="1" applyFont="1" applyBorder="1" applyAlignment="1">
      <alignment horizontal="center"/>
    </xf>
    <xf numFmtId="42" fontId="28" fillId="0" borderId="16" xfId="1" applyNumberFormat="1" applyFont="1" applyBorder="1"/>
    <xf numFmtId="42" fontId="13" fillId="0" borderId="16" xfId="1" applyNumberFormat="1" applyFont="1" applyFill="1" applyBorder="1"/>
    <xf numFmtId="42" fontId="28" fillId="0" borderId="16" xfId="1" applyNumberFormat="1" applyFont="1" applyFill="1" applyBorder="1"/>
    <xf numFmtId="42" fontId="13" fillId="0" borderId="19" xfId="1" applyNumberFormat="1" applyFont="1" applyBorder="1" applyAlignment="1">
      <alignment horizontal="left"/>
    </xf>
    <xf numFmtId="42" fontId="13" fillId="0" borderId="19" xfId="1" applyNumberFormat="1" applyFont="1" applyFill="1" applyBorder="1" applyAlignment="1">
      <alignment horizontal="left"/>
    </xf>
    <xf numFmtId="42" fontId="13" fillId="0" borderId="21" xfId="1" applyNumberFormat="1" applyFont="1" applyBorder="1"/>
    <xf numFmtId="42" fontId="13" fillId="0" borderId="21" xfId="1" applyNumberFormat="1" applyFont="1" applyFill="1" applyBorder="1"/>
    <xf numFmtId="42" fontId="27" fillId="0" borderId="16" xfId="1" applyNumberFormat="1" applyFont="1" applyBorder="1" applyAlignment="1">
      <alignment horizontal="center"/>
    </xf>
    <xf numFmtId="42" fontId="13" fillId="0" borderId="16" xfId="1" applyNumberFormat="1" applyFont="1" applyBorder="1"/>
    <xf numFmtId="42" fontId="13" fillId="0" borderId="16" xfId="1" applyNumberFormat="1" applyFont="1" applyBorder="1" applyAlignment="1">
      <alignment horizontal="center"/>
    </xf>
    <xf numFmtId="42" fontId="13" fillId="0" borderId="19" xfId="1" applyNumberFormat="1" applyFont="1" applyBorder="1" applyAlignment="1">
      <alignment horizontal="center"/>
    </xf>
    <xf numFmtId="42" fontId="13" fillId="0" borderId="19" xfId="1" applyNumberFormat="1" applyFont="1" applyFill="1" applyBorder="1" applyAlignment="1">
      <alignment horizontal="center"/>
    </xf>
    <xf numFmtId="42" fontId="13" fillId="0" borderId="16" xfId="1" applyNumberFormat="1" applyFont="1" applyFill="1" applyBorder="1" applyAlignment="1">
      <alignment horizontal="center"/>
    </xf>
    <xf numFmtId="42" fontId="13" fillId="0" borderId="16" xfId="1" applyNumberFormat="1" applyFont="1" applyBorder="1" applyAlignment="1">
      <alignment horizontal="left"/>
    </xf>
    <xf numFmtId="42" fontId="13" fillId="0" borderId="31" xfId="0" applyNumberFormat="1" applyFont="1" applyBorder="1"/>
    <xf numFmtId="42" fontId="13" fillId="0" borderId="31" xfId="0" applyNumberFormat="1" applyFont="1" applyFill="1" applyBorder="1"/>
    <xf numFmtId="42" fontId="13" fillId="0" borderId="30" xfId="0" applyNumberFormat="1" applyFont="1" applyBorder="1"/>
    <xf numFmtId="42" fontId="13" fillId="0" borderId="30" xfId="1" applyNumberFormat="1" applyFont="1" applyBorder="1" applyAlignment="1">
      <alignment horizontal="left"/>
    </xf>
    <xf numFmtId="42" fontId="13" fillId="0" borderId="30" xfId="1" applyNumberFormat="1" applyFont="1" applyFill="1" applyBorder="1"/>
    <xf numFmtId="42" fontId="13" fillId="0" borderId="30" xfId="0" applyNumberFormat="1" applyFont="1" applyFill="1" applyBorder="1"/>
    <xf numFmtId="42" fontId="13" fillId="0" borderId="26" xfId="0" applyNumberFormat="1" applyFont="1" applyBorder="1"/>
    <xf numFmtId="42" fontId="13" fillId="0" borderId="26" xfId="0" applyNumberFormat="1" applyFont="1" applyFill="1" applyBorder="1"/>
    <xf numFmtId="42" fontId="18" fillId="0" borderId="16" xfId="0" applyNumberFormat="1" applyFont="1" applyFill="1" applyBorder="1" applyAlignment="1">
      <alignment horizontal="center"/>
    </xf>
    <xf numFmtId="42" fontId="10" fillId="0" borderId="16" xfId="1" applyNumberFormat="1" applyFont="1" applyBorder="1"/>
    <xf numFmtId="42" fontId="10" fillId="0" borderId="76" xfId="0" applyNumberFormat="1" applyFont="1" applyBorder="1"/>
    <xf numFmtId="42" fontId="15" fillId="0" borderId="16" xfId="0" applyNumberFormat="1" applyFont="1" applyFill="1" applyBorder="1" applyAlignment="1">
      <alignment horizontal="center"/>
    </xf>
    <xf numFmtId="42" fontId="27" fillId="0" borderId="16" xfId="1" applyNumberFormat="1" applyFont="1" applyBorder="1" applyAlignment="1"/>
    <xf numFmtId="42" fontId="27" fillId="0" borderId="16" xfId="1" applyNumberFormat="1" applyFont="1" applyBorder="1"/>
    <xf numFmtId="42" fontId="13" fillId="0" borderId="76" xfId="1" applyNumberFormat="1" applyFont="1" applyBorder="1" applyAlignment="1">
      <alignment horizontal="left"/>
    </xf>
    <xf numFmtId="42" fontId="13" fillId="0" borderId="21" xfId="1" applyNumberFormat="1" applyFont="1" applyFill="1" applyBorder="1" applyAlignment="1">
      <alignment horizontal="left"/>
    </xf>
    <xf numFmtId="42" fontId="10" fillId="0" borderId="19" xfId="0" applyNumberFormat="1" applyFont="1" applyBorder="1"/>
    <xf numFmtId="42" fontId="13" fillId="0" borderId="2" xfId="0" applyNumberFormat="1" applyFont="1" applyBorder="1" applyAlignment="1">
      <alignment horizontal="center" vertical="center"/>
    </xf>
    <xf numFmtId="42" fontId="13" fillId="0" borderId="2" xfId="0" applyNumberFormat="1" applyFont="1" applyFill="1" applyBorder="1" applyAlignment="1">
      <alignment horizontal="center" vertical="center"/>
    </xf>
    <xf numFmtId="42" fontId="10" fillId="0" borderId="19" xfId="0" applyNumberFormat="1" applyFont="1" applyBorder="1" applyAlignment="1">
      <alignment horizontal="center"/>
    </xf>
    <xf numFmtId="42" fontId="10" fillId="0" borderId="16" xfId="1" applyNumberFormat="1" applyFont="1" applyBorder="1" applyAlignment="1">
      <alignment horizontal="left"/>
    </xf>
    <xf numFmtId="42" fontId="13" fillId="0" borderId="19" xfId="0" applyNumberFormat="1" applyFont="1" applyBorder="1"/>
    <xf numFmtId="42" fontId="13" fillId="0" borderId="21" xfId="0" applyNumberFormat="1" applyFont="1" applyBorder="1"/>
    <xf numFmtId="42" fontId="10" fillId="0" borderId="21" xfId="1" applyNumberFormat="1" applyFont="1" applyBorder="1" applyAlignment="1">
      <alignment horizontal="left"/>
    </xf>
    <xf numFmtId="42" fontId="13" fillId="0" borderId="69" xfId="1" applyNumberFormat="1" applyFont="1" applyBorder="1"/>
    <xf numFmtId="42" fontId="13" fillId="0" borderId="19" xfId="1" applyNumberFormat="1" applyFont="1" applyBorder="1"/>
    <xf numFmtId="42" fontId="13" fillId="0" borderId="21" xfId="1" applyNumberFormat="1" applyFont="1" applyBorder="1" applyAlignment="1">
      <alignment horizontal="center"/>
    </xf>
    <xf numFmtId="42" fontId="10" fillId="0" borderId="21" xfId="0" applyNumberFormat="1" applyFont="1" applyBorder="1" applyAlignment="1">
      <alignment horizontal="center"/>
    </xf>
    <xf numFmtId="42" fontId="10" fillId="0" borderId="19" xfId="1" applyNumberFormat="1" applyFont="1" applyBorder="1" applyAlignment="1">
      <alignment horizontal="left"/>
    </xf>
    <xf numFmtId="42" fontId="28" fillId="0" borderId="16" xfId="1" applyNumberFormat="1" applyFont="1" applyBorder="1" applyAlignment="1">
      <alignment horizontal="center"/>
    </xf>
    <xf numFmtId="42" fontId="13" fillId="0" borderId="16" xfId="1" applyNumberFormat="1" applyFont="1" applyBorder="1" applyAlignment="1"/>
    <xf numFmtId="42" fontId="13" fillId="0" borderId="16" xfId="1" applyNumberFormat="1" applyFont="1" applyFill="1" applyBorder="1" applyAlignment="1"/>
    <xf numFmtId="42" fontId="13" fillId="0" borderId="85" xfId="1" applyNumberFormat="1" applyFont="1" applyBorder="1" applyAlignment="1"/>
    <xf numFmtId="42" fontId="13" fillId="0" borderId="79" xfId="1" applyNumberFormat="1" applyFont="1" applyBorder="1" applyAlignment="1">
      <alignment horizontal="center"/>
    </xf>
    <xf numFmtId="42" fontId="13" fillId="0" borderId="76" xfId="0" applyNumberFormat="1" applyFont="1" applyBorder="1"/>
    <xf numFmtId="42" fontId="27" fillId="0" borderId="16" xfId="0" applyNumberFormat="1" applyFont="1" applyFill="1" applyBorder="1" applyAlignment="1">
      <alignment horizontal="center"/>
    </xf>
    <xf numFmtId="42" fontId="13" fillId="0" borderId="86" xfId="0" applyNumberFormat="1" applyFont="1" applyFill="1" applyBorder="1" applyAlignment="1">
      <alignment horizontal="center"/>
    </xf>
    <xf numFmtId="42" fontId="13" fillId="0" borderId="69" xfId="0" applyNumberFormat="1" applyFont="1" applyFill="1" applyBorder="1" applyAlignment="1">
      <alignment horizontal="center"/>
    </xf>
    <xf numFmtId="42" fontId="13" fillId="0" borderId="86" xfId="0" applyNumberFormat="1" applyFont="1" applyFill="1" applyBorder="1"/>
    <xf numFmtId="42" fontId="13" fillId="0" borderId="76" xfId="0" applyNumberFormat="1" applyFont="1" applyFill="1" applyBorder="1"/>
    <xf numFmtId="42" fontId="13" fillId="0" borderId="21" xfId="1" applyNumberFormat="1" applyFont="1" applyBorder="1" applyAlignment="1">
      <alignment horizontal="left"/>
    </xf>
    <xf numFmtId="42" fontId="23" fillId="0" borderId="16" xfId="0" applyNumberFormat="1" applyFont="1" applyBorder="1"/>
    <xf numFmtId="42" fontId="23" fillId="0" borderId="19" xfId="0" applyNumberFormat="1" applyFont="1" applyBorder="1"/>
    <xf numFmtId="42" fontId="13" fillId="0" borderId="46" xfId="0" applyNumberFormat="1" applyFont="1" applyBorder="1" applyAlignment="1">
      <alignment horizontal="center"/>
    </xf>
    <xf numFmtId="42" fontId="41" fillId="0" borderId="16" xfId="0" applyNumberFormat="1" applyFont="1" applyBorder="1" applyAlignment="1">
      <alignment horizontal="center"/>
    </xf>
    <xf numFmtId="42" fontId="23" fillId="0" borderId="16" xfId="0" applyNumberFormat="1" applyFont="1" applyBorder="1" applyAlignment="1">
      <alignment horizontal="center"/>
    </xf>
    <xf numFmtId="42" fontId="13" fillId="0" borderId="76" xfId="0" applyNumberFormat="1" applyFont="1" applyBorder="1" applyAlignment="1">
      <alignment horizontal="center"/>
    </xf>
    <xf numFmtId="42" fontId="36" fillId="0" borderId="16" xfId="0" applyNumberFormat="1" applyFont="1" applyBorder="1" applyAlignment="1">
      <alignment horizontal="center"/>
    </xf>
    <xf numFmtId="42" fontId="10" fillId="0" borderId="79" xfId="0" applyNumberFormat="1" applyFont="1" applyBorder="1" applyAlignment="1">
      <alignment horizontal="center"/>
    </xf>
    <xf numFmtId="42" fontId="13" fillId="0" borderId="16" xfId="1" applyNumberFormat="1" applyFont="1" applyFill="1" applyBorder="1" applyAlignment="1">
      <alignment horizontal="left"/>
    </xf>
    <xf numFmtId="42" fontId="13" fillId="0" borderId="76" xfId="1" applyNumberFormat="1" applyFont="1" applyBorder="1"/>
    <xf numFmtId="42" fontId="13" fillId="0" borderId="26" xfId="1" applyNumberFormat="1" applyFont="1" applyBorder="1" applyAlignment="1">
      <alignment horizontal="center"/>
    </xf>
    <xf numFmtId="0" fontId="13" fillId="2" borderId="16" xfId="0" applyFont="1" applyFill="1" applyBorder="1"/>
    <xf numFmtId="44" fontId="13" fillId="2" borderId="16" xfId="1" applyNumberFormat="1" applyFont="1" applyFill="1" applyBorder="1" applyAlignment="1">
      <alignment horizontal="center"/>
    </xf>
    <xf numFmtId="42" fontId="13" fillId="2" borderId="16" xfId="1" applyNumberFormat="1" applyFont="1" applyFill="1" applyBorder="1" applyAlignment="1">
      <alignment horizontal="center"/>
    </xf>
    <xf numFmtId="0" fontId="23" fillId="0" borderId="23" xfId="0" applyFont="1" applyBorder="1"/>
    <xf numFmtId="44" fontId="13" fillId="0" borderId="46" xfId="1" applyNumberFormat="1" applyFont="1" applyBorder="1" applyAlignment="1">
      <alignment horizontal="center"/>
    </xf>
    <xf numFmtId="44" fontId="13" fillId="0" borderId="46" xfId="1" applyNumberFormat="1" applyFont="1" applyFill="1" applyBorder="1" applyAlignment="1">
      <alignment horizontal="center"/>
    </xf>
    <xf numFmtId="42" fontId="13" fillId="0" borderId="46" xfId="1" applyNumberFormat="1" applyFont="1" applyFill="1" applyBorder="1" applyAlignment="1">
      <alignment horizontal="center"/>
    </xf>
    <xf numFmtId="0" fontId="13" fillId="0" borderId="74" xfId="0" applyFont="1" applyBorder="1"/>
    <xf numFmtId="42" fontId="13" fillId="0" borderId="74" xfId="0" applyNumberFormat="1" applyFont="1" applyBorder="1" applyAlignment="1">
      <alignment horizontal="center"/>
    </xf>
    <xf numFmtId="44" fontId="13" fillId="0" borderId="16" xfId="1" applyFont="1" applyFill="1" applyBorder="1" applyAlignment="1">
      <alignment horizontal="left"/>
    </xf>
    <xf numFmtId="44" fontId="13" fillId="0" borderId="21" xfId="1" applyFont="1" applyBorder="1" applyAlignment="1">
      <alignment horizontal="left"/>
    </xf>
    <xf numFmtId="44" fontId="13" fillId="2" borderId="16" xfId="1" applyFont="1" applyFill="1" applyBorder="1"/>
    <xf numFmtId="42" fontId="13" fillId="2" borderId="16" xfId="1" applyNumberFormat="1" applyFont="1" applyFill="1" applyBorder="1"/>
    <xf numFmtId="44" fontId="23" fillId="0" borderId="16" xfId="1" applyFont="1" applyFill="1" applyBorder="1" applyAlignment="1">
      <alignment horizontal="left"/>
    </xf>
    <xf numFmtId="44" fontId="23" fillId="0" borderId="19" xfId="1" applyFont="1" applyFill="1" applyBorder="1" applyAlignment="1">
      <alignment horizontal="left"/>
    </xf>
    <xf numFmtId="44" fontId="23" fillId="0" borderId="76" xfId="1" applyFont="1" applyFill="1" applyBorder="1" applyAlignment="1">
      <alignment horizontal="left"/>
    </xf>
    <xf numFmtId="44" fontId="13" fillId="0" borderId="76" xfId="1" applyFont="1" applyFill="1" applyBorder="1" applyAlignment="1">
      <alignment horizontal="left"/>
    </xf>
    <xf numFmtId="42" fontId="13" fillId="0" borderId="76" xfId="1" applyNumberFormat="1" applyFont="1" applyFill="1" applyBorder="1" applyAlignment="1">
      <alignment horizontal="left"/>
    </xf>
    <xf numFmtId="0" fontId="18" fillId="2" borderId="69" xfId="0" applyFont="1" applyFill="1" applyBorder="1" applyAlignment="1">
      <alignment horizontal="left"/>
    </xf>
    <xf numFmtId="44" fontId="18" fillId="2" borderId="69" xfId="1" applyFont="1" applyFill="1" applyBorder="1"/>
    <xf numFmtId="42" fontId="57" fillId="0" borderId="0" xfId="0" applyNumberFormat="1" applyFont="1"/>
    <xf numFmtId="42" fontId="13" fillId="0" borderId="43" xfId="0" applyNumberFormat="1" applyFont="1" applyBorder="1" applyAlignment="1">
      <alignment vertical="center"/>
    </xf>
    <xf numFmtId="0" fontId="13" fillId="0" borderId="25" xfId="0" applyFont="1" applyBorder="1"/>
    <xf numFmtId="44" fontId="13" fillId="0" borderId="54" xfId="0" applyNumberFormat="1" applyFont="1" applyFill="1" applyBorder="1" applyAlignment="1">
      <alignment horizontal="center" vertical="center"/>
    </xf>
    <xf numFmtId="44" fontId="13" fillId="0" borderId="69" xfId="0" applyNumberFormat="1" applyFont="1" applyFill="1" applyBorder="1" applyAlignment="1">
      <alignment horizontal="center" vertical="center"/>
    </xf>
    <xf numFmtId="44" fontId="13" fillId="2" borderId="46" xfId="0" applyNumberFormat="1" applyFont="1" applyFill="1" applyBorder="1" applyAlignment="1">
      <alignment horizontal="center" vertical="center"/>
    </xf>
    <xf numFmtId="42" fontId="13" fillId="0" borderId="46" xfId="0" applyNumberFormat="1" applyFont="1" applyFill="1" applyBorder="1" applyAlignment="1">
      <alignment horizontal="center" vertical="center"/>
    </xf>
    <xf numFmtId="0" fontId="13" fillId="0" borderId="54" xfId="0" applyFont="1" applyBorder="1" applyAlignment="1"/>
    <xf numFmtId="44" fontId="13" fillId="2" borderId="54" xfId="0" applyNumberFormat="1" applyFont="1" applyFill="1" applyBorder="1" applyAlignment="1">
      <alignment horizontal="center" vertical="center"/>
    </xf>
    <xf numFmtId="42" fontId="13" fillId="0" borderId="54" xfId="0" applyNumberFormat="1" applyFont="1" applyFill="1" applyBorder="1" applyAlignment="1">
      <alignment horizontal="center" vertical="center"/>
    </xf>
    <xf numFmtId="42" fontId="13" fillId="0" borderId="52" xfId="0" applyNumberFormat="1" applyFont="1" applyFill="1" applyBorder="1" applyAlignment="1">
      <alignment horizontal="center" vertical="center"/>
    </xf>
    <xf numFmtId="0" fontId="13" fillId="0" borderId="25" xfId="0" applyFont="1" applyFill="1" applyBorder="1"/>
    <xf numFmtId="44" fontId="13" fillId="0" borderId="25" xfId="0" applyNumberFormat="1" applyFont="1" applyFill="1" applyBorder="1"/>
    <xf numFmtId="42" fontId="13" fillId="0" borderId="25" xfId="0" applyNumberFormat="1" applyFont="1" applyFill="1" applyBorder="1"/>
    <xf numFmtId="0" fontId="13" fillId="0" borderId="46" xfId="0" applyFont="1" applyFill="1" applyBorder="1"/>
    <xf numFmtId="44" fontId="13" fillId="0" borderId="25" xfId="0" applyNumberFormat="1" applyFont="1" applyBorder="1" applyAlignment="1">
      <alignment horizontal="center" vertical="center"/>
    </xf>
    <xf numFmtId="42" fontId="13" fillId="0" borderId="25" xfId="0" applyNumberFormat="1" applyFont="1" applyBorder="1" applyAlignment="1">
      <alignment horizontal="center" vertical="center"/>
    </xf>
    <xf numFmtId="42" fontId="13" fillId="0" borderId="16" xfId="0" applyNumberFormat="1" applyFont="1" applyBorder="1" applyAlignment="1">
      <alignment horizontal="center" vertical="center"/>
    </xf>
    <xf numFmtId="44" fontId="13" fillId="0" borderId="46" xfId="0" applyNumberFormat="1" applyFont="1" applyBorder="1" applyAlignment="1">
      <alignment horizontal="center" vertical="center"/>
    </xf>
    <xf numFmtId="42" fontId="13" fillId="0" borderId="46" xfId="0" applyNumberFormat="1" applyFont="1" applyBorder="1" applyAlignment="1">
      <alignment horizontal="center" vertical="center"/>
    </xf>
    <xf numFmtId="44" fontId="13" fillId="0" borderId="74" xfId="0" applyNumberFormat="1" applyFont="1" applyBorder="1" applyAlignment="1">
      <alignment horizontal="center" vertical="center"/>
    </xf>
    <xf numFmtId="42" fontId="13" fillId="0" borderId="74" xfId="0" applyNumberFormat="1" applyFont="1" applyBorder="1" applyAlignment="1">
      <alignment horizontal="center" vertical="center"/>
    </xf>
    <xf numFmtId="42" fontId="13" fillId="0" borderId="52" xfId="0" applyNumberFormat="1" applyFont="1" applyBorder="1" applyAlignment="1">
      <alignment horizontal="center" vertical="center"/>
    </xf>
    <xf numFmtId="0" fontId="13" fillId="0" borderId="25" xfId="0" applyFont="1" applyBorder="1" applyAlignment="1"/>
    <xf numFmtId="44" fontId="13" fillId="2" borderId="25" xfId="0" applyNumberFormat="1" applyFont="1" applyFill="1" applyBorder="1" applyAlignment="1">
      <alignment horizontal="center" vertical="center"/>
    </xf>
    <xf numFmtId="42" fontId="13" fillId="2" borderId="25" xfId="0" applyNumberFormat="1" applyFont="1" applyFill="1" applyBorder="1" applyAlignment="1">
      <alignment horizontal="center" vertical="center"/>
    </xf>
    <xf numFmtId="44" fontId="13" fillId="2" borderId="16" xfId="0" applyNumberFormat="1" applyFont="1" applyFill="1" applyBorder="1" applyAlignment="1">
      <alignment horizontal="center" vertical="center"/>
    </xf>
    <xf numFmtId="42" fontId="13" fillId="2" borderId="16" xfId="0" applyNumberFormat="1" applyFont="1" applyFill="1" applyBorder="1" applyAlignment="1">
      <alignment horizontal="center" vertical="center"/>
    </xf>
    <xf numFmtId="44" fontId="13" fillId="0" borderId="25" xfId="0" applyNumberFormat="1" applyFont="1" applyBorder="1"/>
    <xf numFmtId="42" fontId="13" fillId="0" borderId="25" xfId="0" applyNumberFormat="1" applyFont="1" applyBorder="1"/>
    <xf numFmtId="42" fontId="13" fillId="0" borderId="0" xfId="0" applyNumberFormat="1" applyFont="1"/>
    <xf numFmtId="0" fontId="13" fillId="2" borderId="19" xfId="0" applyFont="1" applyFill="1" applyBorder="1" applyAlignment="1"/>
    <xf numFmtId="44" fontId="13" fillId="0" borderId="19" xfId="0" applyNumberFormat="1" applyFont="1" applyFill="1" applyBorder="1"/>
    <xf numFmtId="42" fontId="13" fillId="0" borderId="19" xfId="0" applyNumberFormat="1" applyFont="1" applyFill="1" applyBorder="1"/>
    <xf numFmtId="0" fontId="13" fillId="2" borderId="25" xfId="0" applyFont="1" applyFill="1" applyBorder="1" applyAlignment="1"/>
    <xf numFmtId="0" fontId="13" fillId="2" borderId="46" xfId="0" applyFont="1" applyFill="1" applyBorder="1" applyAlignment="1"/>
    <xf numFmtId="0" fontId="13" fillId="0" borderId="26" xfId="0" applyFont="1" applyBorder="1"/>
    <xf numFmtId="0" fontId="58" fillId="0" borderId="19" xfId="0" applyFont="1" applyFill="1" applyBorder="1"/>
    <xf numFmtId="0" fontId="13" fillId="0" borderId="16" xfId="0" applyFont="1" applyFill="1" applyBorder="1" applyAlignment="1">
      <alignment horizontal="left"/>
    </xf>
    <xf numFmtId="0" fontId="13" fillId="0" borderId="16" xfId="0" applyFont="1" applyBorder="1" applyAlignment="1">
      <alignment horizontal="left" wrapText="1"/>
    </xf>
    <xf numFmtId="0" fontId="18" fillId="0" borderId="16" xfId="0" applyFont="1" applyFill="1" applyBorder="1"/>
    <xf numFmtId="44" fontId="13" fillId="0" borderId="40" xfId="1" applyNumberFormat="1" applyFont="1" applyBorder="1"/>
    <xf numFmtId="44" fontId="13" fillId="0" borderId="19" xfId="1" applyNumberFormat="1" applyFont="1" applyBorder="1"/>
    <xf numFmtId="44" fontId="13" fillId="0" borderId="21" xfId="1" applyNumberFormat="1" applyFont="1" applyBorder="1" applyAlignment="1">
      <alignment horizontal="center"/>
    </xf>
    <xf numFmtId="0" fontId="13" fillId="0" borderId="0" xfId="0" applyFont="1" applyAlignment="1">
      <alignment wrapText="1"/>
    </xf>
    <xf numFmtId="0" fontId="13" fillId="0" borderId="16" xfId="0" applyFont="1" applyBorder="1" applyAlignment="1">
      <alignment wrapText="1"/>
    </xf>
    <xf numFmtId="0" fontId="13" fillId="0" borderId="19" xfId="0" applyFont="1" applyBorder="1" applyAlignment="1">
      <alignment wrapText="1"/>
    </xf>
    <xf numFmtId="0" fontId="23" fillId="0" borderId="16" xfId="0" applyFont="1" applyBorder="1" applyAlignment="1">
      <alignment wrapText="1"/>
    </xf>
    <xf numFmtId="44" fontId="13" fillId="0" borderId="79" xfId="0" applyNumberFormat="1" applyFont="1" applyBorder="1"/>
    <xf numFmtId="42" fontId="13" fillId="0" borderId="79" xfId="0" applyNumberFormat="1" applyFont="1" applyBorder="1"/>
    <xf numFmtId="44" fontId="13" fillId="0" borderId="113" xfId="0" applyNumberFormat="1" applyFont="1" applyBorder="1" applyAlignment="1">
      <alignment horizontal="center" vertical="center"/>
    </xf>
    <xf numFmtId="42" fontId="13" fillId="0" borderId="113" xfId="0" applyNumberFormat="1" applyFont="1" applyBorder="1" applyAlignment="1">
      <alignment horizontal="center" vertical="center"/>
    </xf>
    <xf numFmtId="44" fontId="27" fillId="0" borderId="16" xfId="1" applyFont="1" applyBorder="1" applyAlignment="1">
      <alignment horizontal="center"/>
    </xf>
    <xf numFmtId="8" fontId="13" fillId="0" borderId="21" xfId="0" applyNumberFormat="1" applyFont="1" applyBorder="1"/>
    <xf numFmtId="42" fontId="13" fillId="0" borderId="46" xfId="1" applyNumberFormat="1" applyFont="1" applyBorder="1" applyAlignment="1">
      <alignment horizontal="center"/>
    </xf>
    <xf numFmtId="44" fontId="13" fillId="0" borderId="74" xfId="1" applyNumberFormat="1" applyFont="1" applyBorder="1" applyAlignment="1">
      <alignment horizontal="center"/>
    </xf>
    <xf numFmtId="42" fontId="13" fillId="0" borderId="74" xfId="1" applyNumberFormat="1" applyFont="1" applyBorder="1" applyAlignment="1">
      <alignment horizontal="center"/>
    </xf>
    <xf numFmtId="0" fontId="13" fillId="0" borderId="22" xfId="0" applyFont="1" applyBorder="1"/>
    <xf numFmtId="44" fontId="13" fillId="0" borderId="46" xfId="1" applyNumberFormat="1" applyFont="1" applyBorder="1"/>
    <xf numFmtId="44" fontId="13" fillId="0" borderId="121" xfId="0" applyNumberFormat="1" applyFont="1" applyBorder="1"/>
    <xf numFmtId="44" fontId="13" fillId="0" borderId="78" xfId="0" applyNumberFormat="1" applyFont="1" applyBorder="1"/>
    <xf numFmtId="44" fontId="13" fillId="0" borderId="71" xfId="0" applyNumberFormat="1" applyFont="1" applyBorder="1"/>
    <xf numFmtId="42" fontId="13" fillId="0" borderId="10" xfId="0" applyNumberFormat="1" applyFont="1" applyBorder="1"/>
    <xf numFmtId="42" fontId="13" fillId="0" borderId="50" xfId="0" applyNumberFormat="1" applyFont="1" applyBorder="1"/>
    <xf numFmtId="42" fontId="13" fillId="0" borderId="49" xfId="0" applyNumberFormat="1" applyFont="1" applyBorder="1"/>
    <xf numFmtId="44" fontId="13" fillId="0" borderId="16" xfId="0" applyNumberFormat="1" applyFont="1" applyBorder="1" applyAlignment="1"/>
    <xf numFmtId="44" fontId="23" fillId="0" borderId="16" xfId="0" applyNumberFormat="1" applyFont="1" applyFill="1" applyBorder="1" applyAlignment="1">
      <alignment horizontal="center"/>
    </xf>
    <xf numFmtId="42" fontId="23" fillId="0" borderId="16" xfId="0" applyNumberFormat="1" applyFont="1" applyFill="1" applyBorder="1" applyAlignment="1">
      <alignment horizontal="center"/>
    </xf>
    <xf numFmtId="0" fontId="13" fillId="0" borderId="20" xfId="0" applyFont="1" applyBorder="1" applyAlignment="1">
      <alignment horizontal="left" wrapText="1"/>
    </xf>
    <xf numFmtId="42" fontId="13" fillId="0" borderId="21" xfId="1" applyNumberFormat="1" applyFont="1" applyFill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7" fillId="0" borderId="30" xfId="0" applyFont="1" applyBorder="1" applyAlignment="1">
      <alignment horizontal="center"/>
    </xf>
    <xf numFmtId="44" fontId="13" fillId="0" borderId="30" xfId="0" applyNumberFormat="1" applyFont="1" applyBorder="1" applyAlignment="1">
      <alignment horizontal="center"/>
    </xf>
    <xf numFmtId="42" fontId="13" fillId="0" borderId="30" xfId="0" applyNumberFormat="1" applyFont="1" applyBorder="1" applyAlignment="1">
      <alignment horizontal="center"/>
    </xf>
    <xf numFmtId="42" fontId="13" fillId="0" borderId="30" xfId="0" applyNumberFormat="1" applyFont="1" applyFill="1" applyBorder="1" applyAlignment="1">
      <alignment horizontal="center"/>
    </xf>
    <xf numFmtId="44" fontId="13" fillId="0" borderId="109" xfId="0" applyNumberFormat="1" applyFont="1" applyBorder="1"/>
    <xf numFmtId="42" fontId="13" fillId="0" borderId="109" xfId="0" applyNumberFormat="1" applyFont="1" applyBorder="1"/>
    <xf numFmtId="42" fontId="13" fillId="0" borderId="109" xfId="0" applyNumberFormat="1" applyFont="1" applyFill="1" applyBorder="1"/>
    <xf numFmtId="44" fontId="13" fillId="0" borderId="74" xfId="0" applyNumberFormat="1" applyFont="1" applyFill="1" applyBorder="1"/>
    <xf numFmtId="42" fontId="13" fillId="0" borderId="74" xfId="0" applyNumberFormat="1" applyFont="1" applyFill="1" applyBorder="1"/>
    <xf numFmtId="0" fontId="13" fillId="0" borderId="88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8" fillId="0" borderId="54" xfId="0" applyFont="1" applyBorder="1" applyAlignment="1">
      <alignment horizontal="center"/>
    </xf>
    <xf numFmtId="42" fontId="13" fillId="0" borderId="40" xfId="0" applyNumberFormat="1" applyFont="1" applyBorder="1"/>
    <xf numFmtId="43" fontId="13" fillId="0" borderId="40" xfId="0" applyNumberFormat="1" applyFont="1" applyBorder="1"/>
    <xf numFmtId="42" fontId="13" fillId="0" borderId="40" xfId="0" applyNumberFormat="1" applyFont="1" applyFill="1" applyBorder="1"/>
    <xf numFmtId="0" fontId="13" fillId="0" borderId="1" xfId="0" applyFont="1" applyBorder="1" applyAlignment="1">
      <alignment horizontal="left" wrapText="1"/>
    </xf>
    <xf numFmtId="43" fontId="13" fillId="0" borderId="25" xfId="0" applyNumberFormat="1" applyFont="1" applyBorder="1"/>
    <xf numFmtId="43" fontId="13" fillId="0" borderId="16" xfId="0" applyNumberFormat="1" applyFont="1" applyBorder="1"/>
    <xf numFmtId="43" fontId="13" fillId="0" borderId="46" xfId="0" applyNumberFormat="1" applyFont="1" applyBorder="1"/>
    <xf numFmtId="43" fontId="13" fillId="0" borderId="40" xfId="0" applyNumberFormat="1" applyFont="1" applyFill="1" applyBorder="1"/>
    <xf numFmtId="43" fontId="13" fillId="0" borderId="25" xfId="0" applyNumberFormat="1" applyFont="1" applyFill="1" applyBorder="1"/>
    <xf numFmtId="43" fontId="13" fillId="0" borderId="16" xfId="0" applyNumberFormat="1" applyFont="1" applyFill="1" applyBorder="1"/>
    <xf numFmtId="43" fontId="13" fillId="0" borderId="46" xfId="0" applyNumberFormat="1" applyFont="1" applyFill="1" applyBorder="1"/>
    <xf numFmtId="42" fontId="13" fillId="0" borderId="69" xfId="0" applyNumberFormat="1" applyFont="1" applyBorder="1"/>
    <xf numFmtId="0" fontId="13" fillId="2" borderId="1" xfId="0" applyFont="1" applyFill="1" applyBorder="1" applyAlignment="1">
      <alignment horizontal="left"/>
    </xf>
    <xf numFmtId="0" fontId="13" fillId="0" borderId="22" xfId="0" applyFont="1" applyBorder="1" applyAlignment="1">
      <alignment horizontal="center"/>
    </xf>
    <xf numFmtId="0" fontId="13" fillId="0" borderId="17" xfId="0" applyFont="1" applyBorder="1" applyAlignment="1">
      <alignment horizontal="left"/>
    </xf>
    <xf numFmtId="0" fontId="13" fillId="0" borderId="43" xfId="0" applyFont="1" applyBorder="1" applyAlignment="1">
      <alignment horizontal="center"/>
    </xf>
    <xf numFmtId="0" fontId="13" fillId="0" borderId="20" xfId="0" applyFont="1" applyBorder="1" applyAlignment="1">
      <alignment horizontal="left" vertical="center"/>
    </xf>
    <xf numFmtId="44" fontId="13" fillId="0" borderId="19" xfId="1" applyNumberFormat="1" applyFont="1" applyBorder="1" applyAlignment="1"/>
    <xf numFmtId="42" fontId="13" fillId="0" borderId="19" xfId="1" applyNumberFormat="1" applyFont="1" applyBorder="1" applyAlignment="1"/>
    <xf numFmtId="0" fontId="10" fillId="0" borderId="129" xfId="0" applyFont="1" applyFill="1" applyBorder="1"/>
    <xf numFmtId="44" fontId="10" fillId="8" borderId="7" xfId="0" applyNumberFormat="1" applyFont="1" applyFill="1" applyBorder="1"/>
    <xf numFmtId="1" fontId="10" fillId="0" borderId="6" xfId="0" applyNumberFormat="1" applyFont="1" applyFill="1" applyBorder="1"/>
    <xf numFmtId="44" fontId="10" fillId="0" borderId="7" xfId="0" applyNumberFormat="1" applyFont="1" applyFill="1" applyBorder="1"/>
    <xf numFmtId="166" fontId="10" fillId="0" borderId="28" xfId="0" applyNumberFormat="1" applyFont="1" applyFill="1" applyBorder="1" applyAlignment="1">
      <alignment horizontal="right"/>
    </xf>
    <xf numFmtId="167" fontId="21" fillId="0" borderId="6" xfId="0" applyNumberFormat="1" applyFont="1" applyFill="1" applyBorder="1"/>
    <xf numFmtId="44" fontId="21" fillId="0" borderId="6" xfId="0" applyNumberFormat="1" applyFont="1" applyFill="1" applyBorder="1"/>
    <xf numFmtId="44" fontId="10" fillId="0" borderId="12" xfId="0" applyNumberFormat="1" applyFont="1" applyFill="1" applyBorder="1"/>
    <xf numFmtId="166" fontId="10" fillId="0" borderId="4" xfId="0" applyNumberFormat="1" applyFont="1" applyFill="1" applyBorder="1"/>
    <xf numFmtId="44" fontId="10" fillId="0" borderId="44" xfId="0" applyNumberFormat="1" applyFont="1" applyBorder="1"/>
    <xf numFmtId="0" fontId="10" fillId="0" borderId="44" xfId="0" applyFont="1" applyFill="1" applyBorder="1"/>
    <xf numFmtId="166" fontId="10" fillId="0" borderId="5" xfId="0" applyNumberFormat="1" applyFont="1" applyFill="1" applyBorder="1"/>
    <xf numFmtId="0" fontId="10" fillId="0" borderId="44" xfId="0" applyFont="1" applyBorder="1"/>
    <xf numFmtId="44" fontId="10" fillId="0" borderId="44" xfId="0" applyNumberFormat="1" applyFont="1" applyFill="1" applyBorder="1"/>
    <xf numFmtId="0" fontId="10" fillId="0" borderId="5" xfId="0" applyNumberFormat="1" applyFont="1" applyBorder="1" applyAlignment="1">
      <alignment horizontal="center"/>
    </xf>
    <xf numFmtId="0" fontId="10" fillId="0" borderId="6" xfId="0" applyFont="1" applyBorder="1"/>
    <xf numFmtId="42" fontId="43" fillId="0" borderId="7" xfId="1" quotePrefix="1" applyNumberFormat="1" applyFont="1" applyFill="1" applyBorder="1"/>
    <xf numFmtId="42" fontId="0" fillId="0" borderId="124" xfId="0" applyNumberFormat="1" applyBorder="1"/>
    <xf numFmtId="0" fontId="34" fillId="0" borderId="130" xfId="0" applyNumberFormat="1" applyFont="1" applyBorder="1" applyAlignment="1">
      <alignment horizontal="center" vertical="center"/>
    </xf>
    <xf numFmtId="0" fontId="11" fillId="0" borderId="130" xfId="0" applyFont="1" applyBorder="1" applyAlignment="1">
      <alignment horizontal="left" vertical="center"/>
    </xf>
    <xf numFmtId="0" fontId="54" fillId="0" borderId="130" xfId="0" applyFont="1" applyBorder="1" applyAlignment="1">
      <alignment horizontal="center" vertical="center" wrapText="1"/>
    </xf>
    <xf numFmtId="0" fontId="0" fillId="0" borderId="130" xfId="0" applyBorder="1"/>
    <xf numFmtId="43" fontId="54" fillId="0" borderId="131" xfId="0" applyNumberFormat="1" applyFont="1" applyBorder="1" applyAlignment="1">
      <alignment horizontal="center" vertical="center" wrapText="1"/>
    </xf>
    <xf numFmtId="42" fontId="43" fillId="0" borderId="129" xfId="0" applyNumberFormat="1" applyFont="1" applyFill="1" applyBorder="1"/>
    <xf numFmtId="42" fontId="43" fillId="0" borderId="72" xfId="0" applyNumberFormat="1" applyFont="1" applyFill="1" applyBorder="1"/>
    <xf numFmtId="42" fontId="43" fillId="0" borderId="41" xfId="0" applyNumberFormat="1" applyFont="1" applyBorder="1" applyAlignment="1">
      <alignment vertical="center"/>
    </xf>
    <xf numFmtId="42" fontId="43" fillId="0" borderId="38" xfId="0" applyNumberFormat="1" applyFont="1" applyBorder="1"/>
    <xf numFmtId="0" fontId="0" fillId="0" borderId="52" xfId="0" applyBorder="1"/>
    <xf numFmtId="168" fontId="0" fillId="0" borderId="0" xfId="0" applyNumberFormat="1" applyBorder="1"/>
    <xf numFmtId="0" fontId="2" fillId="0" borderId="0" xfId="0" applyFont="1" applyBorder="1"/>
    <xf numFmtId="0" fontId="0" fillId="0" borderId="52" xfId="0" applyBorder="1" applyAlignment="1">
      <alignment vertical="top"/>
    </xf>
    <xf numFmtId="0" fontId="0" fillId="0" borderId="0" xfId="0" applyBorder="1" applyAlignment="1">
      <alignment vertical="top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center"/>
    </xf>
    <xf numFmtId="44" fontId="10" fillId="0" borderId="133" xfId="0" applyNumberFormat="1" applyFont="1" applyFill="1" applyBorder="1" applyAlignment="1">
      <alignment horizontal="center"/>
    </xf>
    <xf numFmtId="44" fontId="10" fillId="0" borderId="134" xfId="0" applyNumberFormat="1" applyFont="1" applyFill="1" applyBorder="1" applyAlignment="1">
      <alignment horizontal="center"/>
    </xf>
    <xf numFmtId="0" fontId="10" fillId="0" borderId="126" xfId="0" applyFont="1" applyBorder="1" applyAlignment="1">
      <alignment horizontal="center"/>
    </xf>
    <xf numFmtId="0" fontId="10" fillId="0" borderId="70" xfId="0" applyFont="1" applyFill="1" applyBorder="1"/>
    <xf numFmtId="44" fontId="10" fillId="0" borderId="71" xfId="0" applyNumberFormat="1" applyFont="1" applyFill="1" applyBorder="1"/>
    <xf numFmtId="2" fontId="10" fillId="0" borderId="71" xfId="0" applyNumberFormat="1" applyFont="1" applyFill="1" applyBorder="1"/>
    <xf numFmtId="44" fontId="10" fillId="0" borderId="78" xfId="0" applyNumberFormat="1" applyFont="1" applyFill="1" applyBorder="1"/>
    <xf numFmtId="166" fontId="10" fillId="0" borderId="70" xfId="0" applyNumberFormat="1" applyFont="1" applyFill="1" applyBorder="1"/>
    <xf numFmtId="0" fontId="10" fillId="0" borderId="28" xfId="0" applyFont="1" applyFill="1" applyBorder="1"/>
    <xf numFmtId="44" fontId="10" fillId="0" borderId="29" xfId="0" applyNumberFormat="1" applyFont="1" applyFill="1" applyBorder="1"/>
    <xf numFmtId="2" fontId="10" fillId="0" borderId="29" xfId="0" applyNumberFormat="1" applyFont="1" applyFill="1" applyBorder="1"/>
    <xf numFmtId="44" fontId="10" fillId="0" borderId="33" xfId="0" applyNumberFormat="1" applyFont="1" applyFill="1" applyBorder="1"/>
    <xf numFmtId="166" fontId="10" fillId="0" borderId="28" xfId="0" applyNumberFormat="1" applyFont="1" applyFill="1" applyBorder="1"/>
    <xf numFmtId="166" fontId="10" fillId="0" borderId="5" xfId="0" applyNumberFormat="1" applyFont="1" applyFill="1" applyBorder="1" applyAlignment="1">
      <alignment horizontal="right"/>
    </xf>
    <xf numFmtId="0" fontId="10" fillId="0" borderId="24" xfId="0" applyFont="1" applyBorder="1"/>
    <xf numFmtId="44" fontId="10" fillId="0" borderId="80" xfId="0" applyNumberFormat="1" applyFont="1" applyBorder="1"/>
    <xf numFmtId="44" fontId="10" fillId="0" borderId="87" xfId="0" applyNumberFormat="1" applyFont="1" applyBorder="1"/>
    <xf numFmtId="44" fontId="10" fillId="0" borderId="135" xfId="0" applyNumberFormat="1" applyFont="1" applyBorder="1"/>
    <xf numFmtId="0" fontId="10" fillId="0" borderId="72" xfId="0" applyFont="1" applyFill="1" applyBorder="1" applyAlignment="1">
      <alignment horizontal="center"/>
    </xf>
    <xf numFmtId="44" fontId="10" fillId="0" borderId="136" xfId="0" applyNumberFormat="1" applyFont="1" applyFill="1" applyBorder="1" applyAlignment="1">
      <alignment horizontal="center"/>
    </xf>
    <xf numFmtId="0" fontId="13" fillId="0" borderId="28" xfId="0" applyFont="1" applyFill="1" applyBorder="1"/>
    <xf numFmtId="0" fontId="10" fillId="0" borderId="29" xfId="0" applyFont="1" applyFill="1" applyBorder="1" applyAlignment="1">
      <alignment horizontal="center"/>
    </xf>
    <xf numFmtId="0" fontId="10" fillId="0" borderId="33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42" fontId="46" fillId="0" borderId="41" xfId="0" applyNumberFormat="1" applyFont="1" applyBorder="1" applyAlignment="1">
      <alignment horizontal="center" textRotation="90"/>
    </xf>
    <xf numFmtId="42" fontId="16" fillId="0" borderId="0" xfId="0" applyNumberFormat="1" applyFont="1" applyBorder="1" applyAlignment="1">
      <alignment horizontal="center" vertical="center"/>
    </xf>
    <xf numFmtId="42" fontId="13" fillId="0" borderId="20" xfId="0" applyNumberFormat="1" applyFont="1" applyFill="1" applyBorder="1" applyAlignment="1">
      <alignment horizontal="center"/>
    </xf>
    <xf numFmtId="42" fontId="13" fillId="0" borderId="54" xfId="0" applyNumberFormat="1" applyFont="1" applyFill="1" applyBorder="1" applyAlignment="1">
      <alignment horizontal="center" vertical="center"/>
    </xf>
    <xf numFmtId="0" fontId="10" fillId="0" borderId="17" xfId="0" applyFont="1" applyFill="1" applyBorder="1"/>
    <xf numFmtId="44" fontId="10" fillId="0" borderId="8" xfId="0" applyNumberFormat="1" applyFont="1" applyFill="1" applyBorder="1"/>
    <xf numFmtId="44" fontId="10" fillId="0" borderId="15" xfId="0" applyNumberFormat="1" applyFont="1" applyFill="1" applyBorder="1"/>
    <xf numFmtId="166" fontId="10" fillId="0" borderId="17" xfId="0" applyNumberFormat="1" applyFont="1" applyFill="1" applyBorder="1"/>
    <xf numFmtId="14" fontId="10" fillId="0" borderId="1" xfId="0" applyNumberFormat="1" applyFont="1" applyBorder="1"/>
    <xf numFmtId="0" fontId="10" fillId="0" borderId="12" xfId="0" applyFont="1" applyBorder="1"/>
    <xf numFmtId="42" fontId="13" fillId="0" borderId="0" xfId="0" applyNumberFormat="1" applyFont="1" applyFill="1" applyBorder="1"/>
    <xf numFmtId="42" fontId="13" fillId="0" borderId="42" xfId="0" applyNumberFormat="1" applyFont="1" applyFill="1" applyBorder="1"/>
    <xf numFmtId="42" fontId="13" fillId="0" borderId="45" xfId="0" applyNumberFormat="1" applyFont="1" applyFill="1" applyBorder="1"/>
    <xf numFmtId="0" fontId="18" fillId="0" borderId="26" xfId="0" applyFont="1" applyBorder="1" applyAlignment="1">
      <alignment horizontal="center"/>
    </xf>
    <xf numFmtId="42" fontId="13" fillId="0" borderId="113" xfId="0" applyNumberFormat="1" applyFont="1" applyFill="1" applyBorder="1"/>
    <xf numFmtId="0" fontId="13" fillId="0" borderId="0" xfId="0" applyFont="1" applyBorder="1" applyAlignment="1">
      <alignment horizontal="left" vertical="center"/>
    </xf>
    <xf numFmtId="0" fontId="13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left"/>
    </xf>
    <xf numFmtId="168" fontId="19" fillId="0" borderId="0" xfId="0" applyNumberFormat="1" applyFont="1" applyBorder="1"/>
    <xf numFmtId="0" fontId="2" fillId="0" borderId="0" xfId="0" applyFont="1" applyBorder="1" applyAlignment="1">
      <alignment horizontal="center" wrapText="1"/>
    </xf>
    <xf numFmtId="0" fontId="2" fillId="0" borderId="0" xfId="0" applyFont="1" applyFill="1" applyBorder="1"/>
    <xf numFmtId="42" fontId="0" fillId="0" borderId="0" xfId="0" applyNumberFormat="1" applyBorder="1" applyAlignment="1">
      <alignment vertical="center"/>
    </xf>
    <xf numFmtId="168" fontId="0" fillId="0" borderId="0" xfId="0" applyNumberFormat="1" applyBorder="1" applyAlignment="1">
      <alignment vertical="center"/>
    </xf>
    <xf numFmtId="0" fontId="13" fillId="0" borderId="31" xfId="0" applyFont="1" applyBorder="1" applyAlignment="1">
      <alignment horizontal="left"/>
    </xf>
    <xf numFmtId="0" fontId="23" fillId="0" borderId="74" xfId="0" applyFont="1" applyBorder="1" applyAlignment="1">
      <alignment horizontal="left"/>
    </xf>
    <xf numFmtId="0" fontId="13" fillId="0" borderId="22" xfId="0" applyFont="1" applyBorder="1" applyAlignment="1"/>
    <xf numFmtId="0" fontId="23" fillId="0" borderId="88" xfId="0" applyFont="1" applyBorder="1" applyAlignment="1">
      <alignment horizontal="left"/>
    </xf>
    <xf numFmtId="0" fontId="48" fillId="0" borderId="47" xfId="0" applyFont="1" applyFill="1" applyBorder="1"/>
    <xf numFmtId="0" fontId="10" fillId="0" borderId="48" xfId="0" applyFont="1" applyFill="1" applyBorder="1" applyAlignment="1">
      <alignment horizontal="center"/>
    </xf>
    <xf numFmtId="44" fontId="10" fillId="0" borderId="48" xfId="0" applyNumberFormat="1" applyFont="1" applyFill="1" applyBorder="1" applyAlignment="1">
      <alignment horizontal="center"/>
    </xf>
    <xf numFmtId="0" fontId="10" fillId="0" borderId="41" xfId="0" applyFont="1" applyBorder="1"/>
    <xf numFmtId="1" fontId="10" fillId="2" borderId="3" xfId="0" applyNumberFormat="1" applyFont="1" applyFill="1" applyBorder="1"/>
    <xf numFmtId="0" fontId="1" fillId="0" borderId="0" xfId="6"/>
    <xf numFmtId="0" fontId="1" fillId="0" borderId="0" xfId="6" applyAlignment="1">
      <alignment horizontal="center" vertical="center"/>
    </xf>
    <xf numFmtId="0" fontId="1" fillId="0" borderId="26" xfId="6" applyBorder="1" applyAlignment="1">
      <alignment horizontal="center" vertical="center"/>
    </xf>
    <xf numFmtId="0" fontId="16" fillId="10" borderId="26" xfId="6" applyFont="1" applyFill="1" applyBorder="1"/>
    <xf numFmtId="0" fontId="60" fillId="10" borderId="26" xfId="6" applyFont="1" applyFill="1" applyBorder="1" applyAlignment="1">
      <alignment horizontal="center" vertical="center"/>
    </xf>
    <xf numFmtId="0" fontId="16" fillId="0" borderId="26" xfId="6" applyFont="1" applyFill="1" applyBorder="1"/>
    <xf numFmtId="0" fontId="1" fillId="10" borderId="26" xfId="6" applyFill="1" applyBorder="1" applyAlignment="1">
      <alignment horizontal="center" vertical="center"/>
    </xf>
    <xf numFmtId="0" fontId="1" fillId="10" borderId="26" xfId="6" applyFont="1" applyFill="1" applyBorder="1" applyAlignment="1">
      <alignment horizontal="center" vertical="center"/>
    </xf>
    <xf numFmtId="0" fontId="61" fillId="0" borderId="26" xfId="6" applyFont="1" applyBorder="1"/>
    <xf numFmtId="0" fontId="62" fillId="0" borderId="26" xfId="6" applyFont="1" applyBorder="1" applyAlignment="1">
      <alignment horizontal="center" vertical="center"/>
    </xf>
    <xf numFmtId="0" fontId="1" fillId="0" borderId="26" xfId="6" applyBorder="1"/>
    <xf numFmtId="0" fontId="1" fillId="0" borderId="26" xfId="6" applyFill="1" applyBorder="1" applyAlignment="1">
      <alignment horizontal="center" vertical="center"/>
    </xf>
    <xf numFmtId="0" fontId="16" fillId="9" borderId="26" xfId="6" applyFont="1" applyFill="1" applyBorder="1"/>
    <xf numFmtId="0" fontId="1" fillId="9" borderId="26" xfId="6" applyFill="1" applyBorder="1" applyAlignment="1">
      <alignment horizontal="center" vertical="center"/>
    </xf>
    <xf numFmtId="0" fontId="60" fillId="9" borderId="26" xfId="6" applyFont="1" applyFill="1" applyBorder="1" applyAlignment="1">
      <alignment horizontal="center" vertical="center"/>
    </xf>
    <xf numFmtId="42" fontId="19" fillId="0" borderId="42" xfId="0" applyNumberFormat="1" applyFont="1" applyFill="1" applyBorder="1" applyAlignment="1">
      <alignment horizontal="center" vertical="center"/>
    </xf>
    <xf numFmtId="42" fontId="19" fillId="0" borderId="73" xfId="0" applyNumberFormat="1" applyFont="1" applyFill="1" applyBorder="1" applyAlignment="1">
      <alignment horizontal="center" vertical="center"/>
    </xf>
    <xf numFmtId="42" fontId="19" fillId="0" borderId="45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42" fontId="13" fillId="0" borderId="20" xfId="0" applyNumberFormat="1" applyFont="1" applyFill="1" applyBorder="1" applyAlignment="1">
      <alignment horizontal="center"/>
    </xf>
    <xf numFmtId="42" fontId="4" fillId="0" borderId="30" xfId="0" applyNumberFormat="1" applyFont="1" applyFill="1" applyBorder="1" applyAlignment="1">
      <alignment horizontal="center"/>
    </xf>
    <xf numFmtId="42" fontId="46" fillId="0" borderId="41" xfId="0" applyNumberFormat="1" applyFont="1" applyBorder="1" applyAlignment="1">
      <alignment horizontal="center" textRotation="90"/>
    </xf>
    <xf numFmtId="42" fontId="16" fillId="0" borderId="0" xfId="0" applyNumberFormat="1" applyFont="1" applyBorder="1" applyAlignment="1">
      <alignment horizontal="center" vertical="center"/>
    </xf>
    <xf numFmtId="44" fontId="13" fillId="0" borderId="19" xfId="0" applyNumberFormat="1" applyFont="1" applyBorder="1" applyAlignment="1">
      <alignment horizontal="center" wrapText="1"/>
    </xf>
    <xf numFmtId="0" fontId="4" fillId="0" borderId="69" xfId="0" applyFont="1" applyBorder="1" applyAlignment="1">
      <alignment horizontal="center" wrapText="1"/>
    </xf>
    <xf numFmtId="0" fontId="33" fillId="5" borderId="47" xfId="0" applyFont="1" applyFill="1" applyBorder="1" applyAlignment="1">
      <alignment horizontal="center" vertical="center"/>
    </xf>
    <xf numFmtId="0" fontId="33" fillId="5" borderId="48" xfId="0" applyFont="1" applyFill="1" applyBorder="1" applyAlignment="1">
      <alignment horizontal="center" vertical="center"/>
    </xf>
    <xf numFmtId="0" fontId="33" fillId="5" borderId="49" xfId="0" applyFont="1" applyFill="1" applyBorder="1" applyAlignment="1">
      <alignment horizontal="center" vertical="center"/>
    </xf>
    <xf numFmtId="42" fontId="18" fillId="0" borderId="54" xfId="0" applyNumberFormat="1" applyFont="1" applyBorder="1" applyAlignment="1">
      <alignment horizontal="center" vertical="center"/>
    </xf>
    <xf numFmtId="42" fontId="18" fillId="0" borderId="74" xfId="0" applyNumberFormat="1" applyFont="1" applyBorder="1" applyAlignment="1">
      <alignment horizontal="center" vertical="center"/>
    </xf>
    <xf numFmtId="44" fontId="13" fillId="0" borderId="54" xfId="0" applyNumberFormat="1" applyFont="1" applyFill="1" applyBorder="1" applyAlignment="1">
      <alignment horizontal="center" vertical="center"/>
    </xf>
    <xf numFmtId="44" fontId="13" fillId="0" borderId="69" xfId="0" applyNumberFormat="1" applyFont="1" applyFill="1" applyBorder="1" applyAlignment="1">
      <alignment horizontal="center" vertical="center"/>
    </xf>
    <xf numFmtId="42" fontId="18" fillId="0" borderId="54" xfId="0" applyNumberFormat="1" applyFont="1" applyFill="1" applyBorder="1" applyAlignment="1">
      <alignment horizontal="center" vertical="center"/>
    </xf>
    <xf numFmtId="42" fontId="18" fillId="0" borderId="40" xfId="0" applyNumberFormat="1" applyFont="1" applyFill="1" applyBorder="1" applyAlignment="1">
      <alignment horizontal="center" vertical="center"/>
    </xf>
    <xf numFmtId="42" fontId="18" fillId="0" borderId="74" xfId="0" applyNumberFormat="1" applyFont="1" applyFill="1" applyBorder="1" applyAlignment="1">
      <alignment horizontal="center" vertical="center"/>
    </xf>
    <xf numFmtId="42" fontId="18" fillId="0" borderId="40" xfId="0" applyNumberFormat="1" applyFont="1" applyBorder="1" applyAlignment="1">
      <alignment horizontal="center" vertical="center"/>
    </xf>
    <xf numFmtId="42" fontId="13" fillId="0" borderId="54" xfId="0" applyNumberFormat="1" applyFont="1" applyFill="1" applyBorder="1" applyAlignment="1">
      <alignment horizontal="center" vertical="center"/>
    </xf>
    <xf numFmtId="42" fontId="13" fillId="0" borderId="40" xfId="0" applyNumberFormat="1" applyFont="1" applyFill="1" applyBorder="1" applyAlignment="1">
      <alignment horizontal="center" vertical="center"/>
    </xf>
    <xf numFmtId="0" fontId="10" fillId="0" borderId="117" xfId="0" applyFont="1" applyFill="1" applyBorder="1" applyAlignment="1">
      <alignment horizontal="center" vertical="center" wrapText="1"/>
    </xf>
    <xf numFmtId="0" fontId="10" fillId="0" borderId="118" xfId="0" applyFont="1" applyFill="1" applyBorder="1" applyAlignment="1">
      <alignment horizontal="center" vertical="center" wrapText="1"/>
    </xf>
    <xf numFmtId="0" fontId="10" fillId="0" borderId="119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center"/>
    </xf>
    <xf numFmtId="164" fontId="10" fillId="0" borderId="83" xfId="0" applyNumberFormat="1" applyFont="1" applyBorder="1" applyAlignment="1">
      <alignment horizontal="center"/>
    </xf>
    <xf numFmtId="164" fontId="10" fillId="0" borderId="75" xfId="0" applyNumberFormat="1" applyFont="1" applyBorder="1" applyAlignment="1">
      <alignment horizontal="center"/>
    </xf>
    <xf numFmtId="164" fontId="10" fillId="0" borderId="84" xfId="0" applyNumberFormat="1" applyFont="1" applyBorder="1" applyAlignment="1">
      <alignment horizontal="center"/>
    </xf>
    <xf numFmtId="0" fontId="53" fillId="6" borderId="0" xfId="0" applyFont="1" applyFill="1" applyAlignment="1">
      <alignment horizontal="center" vertical="center" textRotation="90"/>
    </xf>
    <xf numFmtId="0" fontId="22" fillId="0" borderId="132" xfId="0" applyFont="1" applyBorder="1" applyAlignment="1">
      <alignment horizontal="center" vertical="center"/>
    </xf>
    <xf numFmtId="0" fontId="22" fillId="0" borderId="128" xfId="0" applyFont="1" applyBorder="1" applyAlignment="1">
      <alignment horizontal="center" vertical="center"/>
    </xf>
    <xf numFmtId="0" fontId="22" fillId="0" borderId="127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 wrapText="1"/>
    </xf>
    <xf numFmtId="0" fontId="40" fillId="0" borderId="38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3" fillId="0" borderId="26" xfId="0" applyFont="1" applyBorder="1" applyAlignment="1">
      <alignment horizontal="left"/>
    </xf>
    <xf numFmtId="0" fontId="0" fillId="0" borderId="26" xfId="0" applyBorder="1" applyAlignment="1"/>
  </cellXfs>
  <cellStyles count="7">
    <cellStyle name="Currency" xfId="1" builtinId="4"/>
    <cellStyle name="Normal" xfId="0" builtinId="0"/>
    <cellStyle name="Normal 2" xfId="2" xr:uid="{00000000-0005-0000-0000-000002000000}"/>
    <cellStyle name="Normal 3" xfId="3" xr:uid="{00000000-0005-0000-0000-000003000000}"/>
    <cellStyle name="Normal 4" xfId="6" xr:uid="{267441CF-7D51-497F-A37E-FDAA90A3EFE4}"/>
    <cellStyle name="Percent 2" xfId="4" xr:uid="{00000000-0005-0000-0000-000004000000}"/>
    <cellStyle name="Percent 3" xfId="5" xr:uid="{00000000-0005-0000-0000-000005000000}"/>
  </cellStyles>
  <dxfs count="0"/>
  <tableStyles count="0" defaultTableStyle="TableStyleMedium9" defaultPivotStyle="PivotStyleLight16"/>
  <colors>
    <mruColors>
      <color rgb="FFFFDC6D"/>
      <color rgb="FFFFD961"/>
      <color rgb="FFFFDE75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1"/>
  <sheetViews>
    <sheetView tabSelected="1" zoomScaleNormal="100" workbookViewId="0">
      <pane ySplit="1" topLeftCell="A2" activePane="bottomLeft" state="frozen"/>
      <selection pane="bottomLeft"/>
    </sheetView>
  </sheetViews>
  <sheetFormatPr defaultRowHeight="12.75" x14ac:dyDescent="0.2"/>
  <cols>
    <col min="1" max="1" width="11.28515625" style="25" bestFit="1" customWidth="1"/>
    <col min="2" max="2" width="30.28515625" bestFit="1" customWidth="1"/>
    <col min="3" max="3" width="3" customWidth="1"/>
    <col min="4" max="4" width="14.42578125" style="621" customWidth="1"/>
    <col min="5" max="5" width="3" customWidth="1"/>
    <col min="6" max="6" width="14.42578125" style="327" bestFit="1" customWidth="1"/>
    <col min="7" max="7" width="3" customWidth="1"/>
    <col min="8" max="8" width="8" customWidth="1"/>
    <col min="9" max="9" width="10.28515625" bestFit="1" customWidth="1"/>
  </cols>
  <sheetData>
    <row r="1" spans="1:10" ht="33" customHeight="1" thickBot="1" x14ac:dyDescent="0.25">
      <c r="A1" s="927">
        <v>2019</v>
      </c>
      <c r="B1" s="928" t="s">
        <v>491</v>
      </c>
      <c r="C1" s="928"/>
      <c r="D1" s="929" t="s">
        <v>701</v>
      </c>
      <c r="E1" s="930"/>
      <c r="F1" s="931" t="s">
        <v>810</v>
      </c>
      <c r="G1" s="936"/>
      <c r="H1" s="987" t="s">
        <v>779</v>
      </c>
      <c r="I1" s="941" t="s">
        <v>780</v>
      </c>
      <c r="J1" s="942" t="s">
        <v>781</v>
      </c>
    </row>
    <row r="2" spans="1:10" ht="12.75" customHeight="1" x14ac:dyDescent="0.2">
      <c r="A2" s="923">
        <v>407</v>
      </c>
      <c r="B2" s="924" t="s">
        <v>229</v>
      </c>
      <c r="C2" s="616"/>
      <c r="D2" s="622">
        <v>8100</v>
      </c>
      <c r="E2" s="552"/>
      <c r="F2" s="932">
        <f>REVENUE!J3</f>
        <v>37600</v>
      </c>
      <c r="G2" s="936"/>
      <c r="H2" s="937">
        <f>F2/D2-1</f>
        <v>3.6419753086419755</v>
      </c>
      <c r="I2" s="599">
        <f>F2-D2</f>
        <v>29500</v>
      </c>
      <c r="J2" s="938" t="s">
        <v>782</v>
      </c>
    </row>
    <row r="3" spans="1:10" ht="12.6" customHeight="1" x14ac:dyDescent="0.2">
      <c r="A3" s="70">
        <v>410</v>
      </c>
      <c r="B3" s="71" t="s">
        <v>228</v>
      </c>
      <c r="C3" s="616"/>
      <c r="D3" s="622">
        <v>3019185</v>
      </c>
      <c r="E3" s="552"/>
      <c r="F3" s="933">
        <f>REVENUE!K4</f>
        <v>3199205.5553250001</v>
      </c>
      <c r="G3" s="936"/>
      <c r="H3" s="937">
        <f t="shared" ref="H3:H55" si="0">F3/D3-1</f>
        <v>5.9625546405735363E-2</v>
      </c>
      <c r="I3" s="599">
        <f t="shared" ref="I3:I54" si="1">F3-D3</f>
        <v>180020.55532500008</v>
      </c>
      <c r="J3" s="938"/>
    </row>
    <row r="4" spans="1:10" ht="12.6" customHeight="1" x14ac:dyDescent="0.2">
      <c r="A4" s="70">
        <v>415</v>
      </c>
      <c r="B4" s="71" t="s">
        <v>20</v>
      </c>
      <c r="C4" s="616"/>
      <c r="D4" s="622">
        <v>2598955</v>
      </c>
      <c r="E4" s="552"/>
      <c r="F4" s="933">
        <f>REVENUE!J7</f>
        <v>2183552.7966200002</v>
      </c>
      <c r="G4" s="936"/>
      <c r="H4" s="937">
        <f t="shared" si="0"/>
        <v>-0.15983431932449765</v>
      </c>
      <c r="I4" s="599">
        <f t="shared" si="1"/>
        <v>-415402.20337999985</v>
      </c>
      <c r="J4" s="938" t="s">
        <v>783</v>
      </c>
    </row>
    <row r="5" spans="1:10" ht="12.6" customHeight="1" x14ac:dyDescent="0.2">
      <c r="A5" s="70" t="s">
        <v>268</v>
      </c>
      <c r="B5" s="71" t="s">
        <v>269</v>
      </c>
      <c r="C5" s="616"/>
      <c r="D5" s="622">
        <v>13600</v>
      </c>
      <c r="E5" s="552"/>
      <c r="F5" s="933">
        <f>REVENUE!K8</f>
        <v>9600</v>
      </c>
      <c r="G5" s="936"/>
      <c r="H5" s="937">
        <f t="shared" si="0"/>
        <v>-0.29411764705882348</v>
      </c>
      <c r="I5" s="599">
        <f t="shared" si="1"/>
        <v>-4000</v>
      </c>
      <c r="J5" s="938"/>
    </row>
    <row r="6" spans="1:10" ht="12.6" customHeight="1" x14ac:dyDescent="0.2">
      <c r="A6" s="70" t="s">
        <v>63</v>
      </c>
      <c r="B6" s="71" t="s">
        <v>64</v>
      </c>
      <c r="C6" s="616"/>
      <c r="D6" s="622">
        <v>134400</v>
      </c>
      <c r="E6" s="552"/>
      <c r="F6" s="933">
        <f>REVENUE!K11</f>
        <v>100950</v>
      </c>
      <c r="G6" s="936"/>
      <c r="H6" s="937">
        <f t="shared" si="0"/>
        <v>-0.2488839285714286</v>
      </c>
      <c r="I6" s="599">
        <f t="shared" si="1"/>
        <v>-33450</v>
      </c>
      <c r="J6" s="988" t="s">
        <v>782</v>
      </c>
    </row>
    <row r="7" spans="1:10" hidden="1" x14ac:dyDescent="0.2">
      <c r="A7" s="70">
        <v>475</v>
      </c>
      <c r="B7" s="71" t="s">
        <v>65</v>
      </c>
      <c r="C7" s="616"/>
      <c r="D7" s="622"/>
      <c r="E7" s="552"/>
      <c r="F7" s="933">
        <f>REVENUE!I14</f>
        <v>0</v>
      </c>
      <c r="G7" s="936"/>
      <c r="H7" s="937" t="e">
        <f t="shared" si="0"/>
        <v>#DIV/0!</v>
      </c>
      <c r="I7" s="599">
        <f t="shared" si="1"/>
        <v>0</v>
      </c>
      <c r="J7" s="11"/>
    </row>
    <row r="8" spans="1:10" ht="12.6" customHeight="1" x14ac:dyDescent="0.2">
      <c r="A8" s="70" t="s">
        <v>66</v>
      </c>
      <c r="B8" s="71" t="s">
        <v>67</v>
      </c>
      <c r="C8" s="616"/>
      <c r="D8" s="622">
        <v>2500</v>
      </c>
      <c r="E8" s="552"/>
      <c r="F8" s="933">
        <f>REVENUE!K15</f>
        <v>3500</v>
      </c>
      <c r="G8" s="936"/>
      <c r="H8" s="937">
        <f t="shared" si="0"/>
        <v>0.39999999999999991</v>
      </c>
      <c r="I8" s="599">
        <f t="shared" si="1"/>
        <v>1000</v>
      </c>
      <c r="J8" s="938"/>
    </row>
    <row r="9" spans="1:10" ht="12.6" customHeight="1" x14ac:dyDescent="0.2">
      <c r="A9" s="608" t="s">
        <v>352</v>
      </c>
      <c r="B9" s="390" t="s">
        <v>68</v>
      </c>
      <c r="C9" s="616"/>
      <c r="D9" s="622">
        <v>2000</v>
      </c>
      <c r="E9" s="552"/>
      <c r="F9" s="933">
        <f>REVENUE!K17</f>
        <v>1300</v>
      </c>
      <c r="G9" s="936"/>
      <c r="H9" s="937">
        <f t="shared" si="0"/>
        <v>-0.35</v>
      </c>
      <c r="I9" s="599">
        <f t="shared" si="1"/>
        <v>-700</v>
      </c>
      <c r="J9" s="938"/>
    </row>
    <row r="10" spans="1:10" ht="3" customHeight="1" x14ac:dyDescent="0.2">
      <c r="A10" s="610"/>
      <c r="B10" s="611"/>
      <c r="C10" s="92"/>
      <c r="D10" s="640"/>
      <c r="E10" s="599"/>
      <c r="F10" s="609"/>
      <c r="G10" s="936"/>
      <c r="H10" s="937"/>
      <c r="I10" s="599"/>
      <c r="J10" s="11"/>
    </row>
    <row r="11" spans="1:10" s="330" customFormat="1" ht="20.25" customHeight="1" x14ac:dyDescent="0.2">
      <c r="A11" s="328"/>
      <c r="B11" s="329" t="s">
        <v>113</v>
      </c>
      <c r="C11" s="641"/>
      <c r="D11" s="642">
        <f>SUM(D2:D10)</f>
        <v>5778740</v>
      </c>
      <c r="E11" s="607"/>
      <c r="F11" s="934">
        <f>SUM(F2:F10)</f>
        <v>5535708.3519449998</v>
      </c>
      <c r="G11" s="939"/>
      <c r="H11" s="990">
        <f t="shared" si="0"/>
        <v>-4.2056165886508179E-2</v>
      </c>
      <c r="I11" s="989">
        <f t="shared" si="1"/>
        <v>-243031.64805500023</v>
      </c>
      <c r="J11" s="940"/>
    </row>
    <row r="12" spans="1:10" ht="22.5" customHeight="1" thickBot="1" x14ac:dyDescent="0.25">
      <c r="A12" s="326" t="s">
        <v>351</v>
      </c>
      <c r="B12" s="255" t="s">
        <v>232</v>
      </c>
      <c r="C12" s="255"/>
      <c r="D12" s="625"/>
      <c r="E12" s="926"/>
      <c r="F12" s="935"/>
      <c r="G12" s="936"/>
      <c r="H12" s="937"/>
      <c r="I12" s="599"/>
      <c r="J12" s="11"/>
    </row>
    <row r="13" spans="1:10" ht="12.6" customHeight="1" x14ac:dyDescent="0.2">
      <c r="A13" s="73">
        <v>501</v>
      </c>
      <c r="B13" s="74" t="s">
        <v>98</v>
      </c>
      <c r="C13" s="617"/>
      <c r="D13" s="635">
        <v>23873</v>
      </c>
      <c r="E13" s="599"/>
      <c r="F13" s="925">
        <f>'501 PROPERTY TAX FEES'!I12</f>
        <v>26692.300000000003</v>
      </c>
      <c r="H13" s="937">
        <f t="shared" si="0"/>
        <v>0.11809575671260442</v>
      </c>
      <c r="I13" s="599">
        <f t="shared" si="1"/>
        <v>2819.3000000000029</v>
      </c>
      <c r="J13" t="s">
        <v>795</v>
      </c>
    </row>
    <row r="14" spans="1:10" ht="12.6" customHeight="1" x14ac:dyDescent="0.2">
      <c r="A14" s="75">
        <v>502</v>
      </c>
      <c r="B14" s="72" t="s">
        <v>170</v>
      </c>
      <c r="C14" s="618"/>
      <c r="D14" s="628">
        <v>51979</v>
      </c>
      <c r="E14" s="599"/>
      <c r="F14" s="600">
        <f>'502 SALES TAX COLLECTION COSTS'!I12</f>
        <v>43671.055932400006</v>
      </c>
      <c r="H14" s="937">
        <f t="shared" si="0"/>
        <v>-0.15983270296850638</v>
      </c>
      <c r="I14" s="599">
        <f t="shared" si="1"/>
        <v>-8307.944067599994</v>
      </c>
      <c r="J14" s="249" t="s">
        <v>792</v>
      </c>
    </row>
    <row r="15" spans="1:10" ht="12.6" customHeight="1" x14ac:dyDescent="0.2">
      <c r="A15" s="76">
        <v>503</v>
      </c>
      <c r="B15" s="77" t="s">
        <v>121</v>
      </c>
      <c r="C15" s="618"/>
      <c r="D15" s="633">
        <v>28500</v>
      </c>
      <c r="E15" s="599"/>
      <c r="F15" s="601">
        <f>'503 SUNSET VALLEY'!I11</f>
        <v>30495</v>
      </c>
      <c r="H15" s="937">
        <f t="shared" si="0"/>
        <v>7.0000000000000062E-2</v>
      </c>
      <c r="I15" s="599">
        <f t="shared" si="1"/>
        <v>1995</v>
      </c>
      <c r="J15" s="249"/>
    </row>
    <row r="16" spans="1:10" ht="12.6" customHeight="1" x14ac:dyDescent="0.2">
      <c r="A16" s="78">
        <v>601</v>
      </c>
      <c r="B16" s="79" t="s">
        <v>224</v>
      </c>
      <c r="C16" s="618"/>
      <c r="D16" s="632">
        <v>0</v>
      </c>
      <c r="E16" s="599"/>
      <c r="F16" s="602">
        <f>'601 APPARATUS PMTS.'!I14+'601 APPARATUS PMTS.'!J14</f>
        <v>0</v>
      </c>
      <c r="H16" s="937">
        <v>0</v>
      </c>
      <c r="I16" s="599">
        <f t="shared" si="1"/>
        <v>0</v>
      </c>
      <c r="J16" s="249"/>
    </row>
    <row r="17" spans="1:10" ht="12.6" customHeight="1" x14ac:dyDescent="0.2">
      <c r="A17" s="75">
        <v>602</v>
      </c>
      <c r="B17" s="80" t="s">
        <v>115</v>
      </c>
      <c r="C17" s="617"/>
      <c r="D17" s="629">
        <v>1730</v>
      </c>
      <c r="E17" s="599"/>
      <c r="F17" s="603">
        <f>'602 ALPHA PAGERS'!I11</f>
        <v>846</v>
      </c>
      <c r="H17" s="937">
        <f t="shared" si="0"/>
        <v>-0.51098265895953765</v>
      </c>
      <c r="I17" s="599">
        <f t="shared" si="1"/>
        <v>-884</v>
      </c>
      <c r="J17" s="249" t="s">
        <v>796</v>
      </c>
    </row>
    <row r="18" spans="1:10" ht="12.6" customHeight="1" x14ac:dyDescent="0.2">
      <c r="A18" s="75">
        <v>603</v>
      </c>
      <c r="B18" s="80" t="s">
        <v>209</v>
      </c>
      <c r="C18" s="617"/>
      <c r="D18" s="629">
        <v>203602</v>
      </c>
      <c r="E18" s="599"/>
      <c r="F18" s="604">
        <f>'603 DISPATCH &amp; COMM'!I18</f>
        <v>98790.8</v>
      </c>
      <c r="H18" s="937">
        <f t="shared" si="0"/>
        <v>-0.51478472706554945</v>
      </c>
      <c r="I18" s="599">
        <f t="shared" si="1"/>
        <v>-104811.2</v>
      </c>
      <c r="J18" s="249" t="s">
        <v>784</v>
      </c>
    </row>
    <row r="19" spans="1:10" ht="12.6" customHeight="1" x14ac:dyDescent="0.2">
      <c r="A19" s="70">
        <v>604</v>
      </c>
      <c r="B19" s="72" t="s">
        <v>114</v>
      </c>
      <c r="C19" s="618"/>
      <c r="D19" s="628">
        <v>30000</v>
      </c>
      <c r="E19" s="599"/>
      <c r="F19" s="604">
        <f>'604 FUEL'!I9</f>
        <v>29000</v>
      </c>
      <c r="H19" s="937">
        <f t="shared" si="0"/>
        <v>-3.3333333333333326E-2</v>
      </c>
      <c r="I19" s="599">
        <f t="shared" si="1"/>
        <v>-1000</v>
      </c>
    </row>
    <row r="20" spans="1:10" ht="12.6" customHeight="1" x14ac:dyDescent="0.2">
      <c r="A20" s="75">
        <v>605</v>
      </c>
      <c r="B20" s="81" t="s">
        <v>183</v>
      </c>
      <c r="C20" s="619"/>
      <c r="D20" s="630">
        <v>34992</v>
      </c>
      <c r="E20" s="599"/>
      <c r="F20" s="604">
        <f>'605 SCBA'!I24</f>
        <v>36033</v>
      </c>
      <c r="H20" s="937">
        <f t="shared" si="0"/>
        <v>2.9749657064471968E-2</v>
      </c>
      <c r="I20" s="599">
        <f t="shared" si="1"/>
        <v>1041</v>
      </c>
      <c r="J20" s="249"/>
    </row>
    <row r="21" spans="1:10" ht="12.6" customHeight="1" x14ac:dyDescent="0.2">
      <c r="A21" s="75">
        <v>606</v>
      </c>
      <c r="B21" s="81" t="s">
        <v>109</v>
      </c>
      <c r="C21" s="619"/>
      <c r="D21" s="630">
        <v>97100</v>
      </c>
      <c r="E21" s="599"/>
      <c r="F21" s="604">
        <f>'606 VEH MTN REP'!I23</f>
        <v>98800</v>
      </c>
      <c r="H21" s="937">
        <f t="shared" si="0"/>
        <v>1.750772399588052E-2</v>
      </c>
      <c r="I21" s="599">
        <f t="shared" si="1"/>
        <v>1700</v>
      </c>
    </row>
    <row r="22" spans="1:10" ht="12.6" customHeight="1" x14ac:dyDescent="0.2">
      <c r="A22" s="75">
        <v>608</v>
      </c>
      <c r="B22" s="80" t="s">
        <v>210</v>
      </c>
      <c r="C22" s="617"/>
      <c r="D22" s="629">
        <v>52950</v>
      </c>
      <c r="E22" s="599"/>
      <c r="F22" s="604">
        <f>'608 VEHICLE SUPPLIES'!I29</f>
        <v>51450</v>
      </c>
      <c r="H22" s="937">
        <f t="shared" si="0"/>
        <v>-2.8328611898016942E-2</v>
      </c>
      <c r="I22" s="599">
        <f t="shared" si="1"/>
        <v>-1500</v>
      </c>
      <c r="J22" s="249"/>
    </row>
    <row r="23" spans="1:10" ht="12.6" customHeight="1" x14ac:dyDescent="0.2">
      <c r="A23" s="75">
        <v>609</v>
      </c>
      <c r="B23" s="80" t="s">
        <v>165</v>
      </c>
      <c r="C23" s="617"/>
      <c r="D23" s="629">
        <v>81994</v>
      </c>
      <c r="E23" s="254"/>
      <c r="F23" s="604">
        <f>'609 UNIFORMS &amp; PROTECTIVE GEAR'!I12</f>
        <v>66912.350000000006</v>
      </c>
      <c r="H23" s="937">
        <f t="shared" si="0"/>
        <v>-0.18393601970875906</v>
      </c>
      <c r="I23" s="599">
        <f t="shared" si="1"/>
        <v>-15081.649999999994</v>
      </c>
      <c r="J23" s="249" t="s">
        <v>785</v>
      </c>
    </row>
    <row r="24" spans="1:10" ht="12.6" customHeight="1" x14ac:dyDescent="0.2">
      <c r="A24" s="75">
        <v>611</v>
      </c>
      <c r="B24" s="80" t="s">
        <v>622</v>
      </c>
      <c r="C24" s="617"/>
      <c r="D24" s="629">
        <v>11225</v>
      </c>
      <c r="E24" s="254"/>
      <c r="F24" s="604">
        <f>'611 EMS SUPPLIES'!I13</f>
        <v>21800</v>
      </c>
      <c r="H24" s="937">
        <f t="shared" si="0"/>
        <v>0.94209354120267252</v>
      </c>
      <c r="I24" s="599">
        <f t="shared" si="1"/>
        <v>10575</v>
      </c>
      <c r="J24" s="249" t="s">
        <v>797</v>
      </c>
    </row>
    <row r="25" spans="1:10" ht="12.6" customHeight="1" x14ac:dyDescent="0.2">
      <c r="A25" s="76">
        <v>612</v>
      </c>
      <c r="B25" s="82" t="s">
        <v>621</v>
      </c>
      <c r="C25" s="617"/>
      <c r="D25" s="643">
        <v>800</v>
      </c>
      <c r="E25" s="254"/>
      <c r="F25" s="601">
        <f>'612 REHAB SUPPLIES'!I10</f>
        <v>2400</v>
      </c>
      <c r="H25" s="937">
        <f t="shared" si="0"/>
        <v>2</v>
      </c>
      <c r="I25" s="599">
        <f t="shared" si="1"/>
        <v>1600</v>
      </c>
      <c r="J25" s="249" t="s">
        <v>798</v>
      </c>
    </row>
    <row r="26" spans="1:10" ht="12.6" customHeight="1" x14ac:dyDescent="0.2">
      <c r="A26" s="76">
        <v>613</v>
      </c>
      <c r="B26" s="82" t="s">
        <v>233</v>
      </c>
      <c r="C26" s="617"/>
      <c r="D26" s="634">
        <v>20900</v>
      </c>
      <c r="E26" s="254"/>
      <c r="F26" s="601">
        <f>'613 AUTO INSURANCE'!I8</f>
        <v>22000</v>
      </c>
      <c r="H26" s="937">
        <f t="shared" si="0"/>
        <v>5.2631578947368363E-2</v>
      </c>
      <c r="I26" s="599">
        <f t="shared" si="1"/>
        <v>1100</v>
      </c>
    </row>
    <row r="27" spans="1:10" ht="12.6" customHeight="1" x14ac:dyDescent="0.2">
      <c r="A27" s="83">
        <v>632</v>
      </c>
      <c r="B27" s="79" t="s">
        <v>184</v>
      </c>
      <c r="C27" s="618"/>
      <c r="D27" s="632">
        <v>107525</v>
      </c>
      <c r="E27" s="254"/>
      <c r="F27" s="602">
        <f>'632 FIRE &amp; RESCUE TRAINING'!I34</f>
        <v>105500</v>
      </c>
      <c r="H27" s="937">
        <f t="shared" si="0"/>
        <v>-1.8832829574517596E-2</v>
      </c>
      <c r="I27" s="599">
        <f t="shared" si="1"/>
        <v>-2025</v>
      </c>
      <c r="J27" s="249"/>
    </row>
    <row r="28" spans="1:10" ht="12.6" customHeight="1" x14ac:dyDescent="0.2">
      <c r="A28" s="75">
        <v>633</v>
      </c>
      <c r="B28" s="80" t="s">
        <v>168</v>
      </c>
      <c r="C28" s="617"/>
      <c r="D28" s="629">
        <v>56450</v>
      </c>
      <c r="E28" s="254"/>
      <c r="F28" s="604">
        <f>'633 SEMINARS &amp; CONFERENCES'!I22</f>
        <v>59085</v>
      </c>
      <c r="H28" s="937">
        <f t="shared" si="0"/>
        <v>4.6678476527900692E-2</v>
      </c>
      <c r="I28" s="599">
        <f t="shared" si="1"/>
        <v>2635</v>
      </c>
      <c r="J28" s="249"/>
    </row>
    <row r="29" spans="1:10" ht="12.6" customHeight="1" x14ac:dyDescent="0.2">
      <c r="A29" s="76">
        <v>634</v>
      </c>
      <c r="B29" s="82" t="s">
        <v>620</v>
      </c>
      <c r="C29" s="617"/>
      <c r="D29" s="629">
        <v>57300</v>
      </c>
      <c r="E29" s="254"/>
      <c r="F29" s="601">
        <f>'634 FIRE ACADEMY'!I33</f>
        <v>55650</v>
      </c>
      <c r="H29" s="937">
        <f t="shared" si="0"/>
        <v>-2.8795811518324554E-2</v>
      </c>
      <c r="I29" s="599">
        <f t="shared" si="1"/>
        <v>-1650</v>
      </c>
      <c r="J29" s="249"/>
    </row>
    <row r="30" spans="1:10" ht="12.6" customHeight="1" x14ac:dyDescent="0.2">
      <c r="A30" s="76">
        <v>635</v>
      </c>
      <c r="B30" s="82" t="s">
        <v>619</v>
      </c>
      <c r="C30" s="617"/>
      <c r="D30" s="643">
        <v>19300</v>
      </c>
      <c r="E30" s="254"/>
      <c r="F30" s="601">
        <f>'635 EMT CERT COURSE'!I19</f>
        <v>20450</v>
      </c>
      <c r="H30" s="937">
        <f t="shared" si="0"/>
        <v>5.9585492227979264E-2</v>
      </c>
      <c r="I30" s="599">
        <f t="shared" si="1"/>
        <v>1150</v>
      </c>
      <c r="J30" s="249"/>
    </row>
    <row r="31" spans="1:10" ht="12.6" customHeight="1" x14ac:dyDescent="0.2">
      <c r="A31" s="85">
        <v>636</v>
      </c>
      <c r="B31" s="86" t="s">
        <v>355</v>
      </c>
      <c r="C31" s="617"/>
      <c r="D31" s="634">
        <v>2600</v>
      </c>
      <c r="E31" s="254"/>
      <c r="F31" s="601">
        <f>'636 VENDING MACHINES'!H12</f>
        <v>2598</v>
      </c>
      <c r="H31" s="937">
        <f t="shared" si="0"/>
        <v>-7.6923076923074429E-4</v>
      </c>
      <c r="I31" s="599">
        <f t="shared" si="1"/>
        <v>-2</v>
      </c>
    </row>
    <row r="32" spans="1:10" ht="12.6" customHeight="1" x14ac:dyDescent="0.2">
      <c r="A32" s="73">
        <v>641</v>
      </c>
      <c r="B32" s="74" t="s">
        <v>167</v>
      </c>
      <c r="C32" s="617"/>
      <c r="D32" s="635">
        <v>1035981</v>
      </c>
      <c r="E32" s="254"/>
      <c r="F32" s="602">
        <f>'641 BENEFITS'!H27</f>
        <v>1098990.5893218708</v>
      </c>
      <c r="H32" s="937">
        <f t="shared" si="0"/>
        <v>6.0821182359397374E-2</v>
      </c>
      <c r="I32" s="599">
        <f t="shared" si="1"/>
        <v>63009.589321870822</v>
      </c>
      <c r="J32" s="249"/>
    </row>
    <row r="33" spans="1:10" ht="12.6" customHeight="1" x14ac:dyDescent="0.2">
      <c r="A33" s="75">
        <v>642</v>
      </c>
      <c r="B33" s="80" t="s">
        <v>506</v>
      </c>
      <c r="C33" s="617"/>
      <c r="D33" s="629">
        <v>2530414</v>
      </c>
      <c r="E33" s="254"/>
      <c r="F33" s="605">
        <f>'642 PAYROLL'!K47</f>
        <v>2770922.5745000001</v>
      </c>
      <c r="H33" s="937">
        <f t="shared" si="0"/>
        <v>9.5047124502156688E-2</v>
      </c>
      <c r="I33" s="599">
        <f t="shared" si="1"/>
        <v>240508.5745000001</v>
      </c>
      <c r="J33" s="249" t="s">
        <v>808</v>
      </c>
    </row>
    <row r="34" spans="1:10" ht="12.6" customHeight="1" x14ac:dyDescent="0.2">
      <c r="A34" s="75">
        <v>643</v>
      </c>
      <c r="B34" s="80" t="s">
        <v>40</v>
      </c>
      <c r="C34" s="617"/>
      <c r="D34" s="629">
        <v>3900</v>
      </c>
      <c r="E34" s="254"/>
      <c r="F34" s="604">
        <f>'643 RECOGNITION'!I14</f>
        <v>4550</v>
      </c>
      <c r="H34" s="937">
        <f t="shared" si="0"/>
        <v>0.16666666666666674</v>
      </c>
      <c r="I34" s="599">
        <f t="shared" si="1"/>
        <v>650</v>
      </c>
      <c r="J34" s="249"/>
    </row>
    <row r="35" spans="1:10" ht="12.6" customHeight="1" x14ac:dyDescent="0.2">
      <c r="A35" s="75">
        <v>644</v>
      </c>
      <c r="B35" s="80" t="s">
        <v>69</v>
      </c>
      <c r="C35" s="617"/>
      <c r="D35" s="629">
        <v>13435</v>
      </c>
      <c r="E35" s="254"/>
      <c r="F35" s="601">
        <f>'644 CERTIFICATIONS'!I22</f>
        <v>12855</v>
      </c>
      <c r="H35" s="937">
        <f t="shared" si="0"/>
        <v>-4.3170822478600712E-2</v>
      </c>
      <c r="I35" s="599">
        <f t="shared" si="1"/>
        <v>-580</v>
      </c>
    </row>
    <row r="36" spans="1:10" ht="11.25" customHeight="1" x14ac:dyDescent="0.2">
      <c r="A36" s="85">
        <v>645</v>
      </c>
      <c r="B36" s="86" t="s">
        <v>99</v>
      </c>
      <c r="C36" s="617"/>
      <c r="D36" s="634">
        <v>400</v>
      </c>
      <c r="E36" s="254"/>
      <c r="F36" s="601">
        <f>'645 RECRUITMENT'!I18</f>
        <v>450</v>
      </c>
      <c r="H36" s="937">
        <f t="shared" si="0"/>
        <v>0.125</v>
      </c>
      <c r="I36" s="599">
        <f t="shared" si="1"/>
        <v>50</v>
      </c>
      <c r="J36" s="249"/>
    </row>
    <row r="37" spans="1:10" ht="12.6" customHeight="1" x14ac:dyDescent="0.2">
      <c r="A37" s="83">
        <v>651</v>
      </c>
      <c r="B37" s="84" t="s">
        <v>166</v>
      </c>
      <c r="C37" s="617"/>
      <c r="D37" s="635">
        <v>129136</v>
      </c>
      <c r="E37" s="254"/>
      <c r="F37" s="602">
        <f>'651 BLDG GROUND MAINT'!I38</f>
        <v>119560</v>
      </c>
      <c r="H37" s="937">
        <f t="shared" si="0"/>
        <v>-7.4154379878577648E-2</v>
      </c>
      <c r="I37" s="599">
        <f t="shared" si="1"/>
        <v>-9576</v>
      </c>
      <c r="J37" s="249" t="s">
        <v>799</v>
      </c>
    </row>
    <row r="38" spans="1:10" ht="12.6" customHeight="1" x14ac:dyDescent="0.2">
      <c r="A38" s="75">
        <v>652</v>
      </c>
      <c r="B38" s="80" t="s">
        <v>162</v>
      </c>
      <c r="C38" s="617"/>
      <c r="D38" s="629">
        <v>11746</v>
      </c>
      <c r="E38" s="254"/>
      <c r="F38" s="604">
        <f>'652 OFFICE SUPPLIES'!I20</f>
        <v>11300</v>
      </c>
      <c r="H38" s="937">
        <f t="shared" si="0"/>
        <v>-3.7970372892899729E-2</v>
      </c>
      <c r="I38" s="599">
        <f t="shared" si="1"/>
        <v>-446</v>
      </c>
    </row>
    <row r="39" spans="1:10" ht="12.6" customHeight="1" x14ac:dyDescent="0.2">
      <c r="A39" s="75">
        <v>653</v>
      </c>
      <c r="B39" s="80" t="s">
        <v>171</v>
      </c>
      <c r="C39" s="617"/>
      <c r="D39" s="629">
        <v>11400</v>
      </c>
      <c r="E39" s="599"/>
      <c r="F39" s="604">
        <f>'653 STATION SUPPLIES'!I16</f>
        <v>12650</v>
      </c>
      <c r="H39" s="937">
        <f t="shared" si="0"/>
        <v>0.10964912280701755</v>
      </c>
      <c r="I39" s="599">
        <f t="shared" si="1"/>
        <v>1250</v>
      </c>
    </row>
    <row r="40" spans="1:10" ht="12.6" customHeight="1" x14ac:dyDescent="0.2">
      <c r="A40" s="75">
        <v>654</v>
      </c>
      <c r="B40" s="80" t="s">
        <v>119</v>
      </c>
      <c r="C40" s="617"/>
      <c r="D40" s="629">
        <v>1145</v>
      </c>
      <c r="E40" s="599"/>
      <c r="F40" s="604">
        <f>'654 BANK FEES'!I13</f>
        <v>1250</v>
      </c>
      <c r="H40" s="937">
        <f t="shared" si="0"/>
        <v>9.1703056768559055E-2</v>
      </c>
      <c r="I40" s="599">
        <f t="shared" si="1"/>
        <v>105</v>
      </c>
      <c r="J40" s="249"/>
    </row>
    <row r="41" spans="1:10" ht="12.6" customHeight="1" x14ac:dyDescent="0.2">
      <c r="A41" s="75">
        <v>655</v>
      </c>
      <c r="B41" s="80" t="s">
        <v>169</v>
      </c>
      <c r="C41" s="617"/>
      <c r="D41" s="629">
        <v>4704</v>
      </c>
      <c r="E41" s="599"/>
      <c r="F41" s="604">
        <f>'655 DUES AND SUBSCRIPTIONS'!I24</f>
        <v>4670</v>
      </c>
      <c r="H41" s="937">
        <f t="shared" si="0"/>
        <v>-7.2278911564626069E-3</v>
      </c>
      <c r="I41" s="599">
        <f t="shared" si="1"/>
        <v>-34</v>
      </c>
      <c r="J41" s="249"/>
    </row>
    <row r="42" spans="1:10" ht="12.6" customHeight="1" x14ac:dyDescent="0.2">
      <c r="A42" s="75">
        <v>656</v>
      </c>
      <c r="B42" s="80" t="s">
        <v>120</v>
      </c>
      <c r="C42" s="617"/>
      <c r="D42" s="629">
        <v>28477</v>
      </c>
      <c r="E42" s="599"/>
      <c r="F42" s="604">
        <f>'656 INFORMATION TECHNOLOGY'!I27</f>
        <v>31620</v>
      </c>
      <c r="H42" s="937">
        <f t="shared" si="0"/>
        <v>0.11036977209677978</v>
      </c>
      <c r="I42" s="599">
        <f t="shared" si="1"/>
        <v>3143</v>
      </c>
      <c r="J42" s="249" t="s">
        <v>786</v>
      </c>
    </row>
    <row r="43" spans="1:10" ht="12.6" customHeight="1" x14ac:dyDescent="0.2">
      <c r="A43" s="75">
        <v>657</v>
      </c>
      <c r="B43" s="80" t="s">
        <v>118</v>
      </c>
      <c r="C43" s="617"/>
      <c r="D43" s="629">
        <v>1050</v>
      </c>
      <c r="E43" s="599"/>
      <c r="F43" s="604">
        <f>'657 POSTAGE'!I13</f>
        <v>1050</v>
      </c>
      <c r="H43" s="937">
        <f t="shared" si="0"/>
        <v>0</v>
      </c>
      <c r="I43" s="599">
        <f t="shared" si="1"/>
        <v>0</v>
      </c>
      <c r="J43" s="249"/>
    </row>
    <row r="44" spans="1:10" ht="12.6" customHeight="1" x14ac:dyDescent="0.2">
      <c r="A44" s="75">
        <v>658</v>
      </c>
      <c r="B44" s="80" t="s">
        <v>225</v>
      </c>
      <c r="C44" s="617"/>
      <c r="D44" s="629">
        <v>35800</v>
      </c>
      <c r="E44" s="599"/>
      <c r="F44" s="604">
        <f>'658 PROP &amp; LIABILITY'!I16</f>
        <v>35800</v>
      </c>
      <c r="H44" s="937">
        <f t="shared" si="0"/>
        <v>0</v>
      </c>
      <c r="I44" s="599">
        <f t="shared" si="1"/>
        <v>0</v>
      </c>
    </row>
    <row r="45" spans="1:10" ht="12.6" customHeight="1" x14ac:dyDescent="0.2">
      <c r="A45" s="75">
        <v>659</v>
      </c>
      <c r="B45" s="80" t="s">
        <v>198</v>
      </c>
      <c r="C45" s="617"/>
      <c r="D45" s="629">
        <v>34000</v>
      </c>
      <c r="E45" s="599"/>
      <c r="F45" s="604">
        <f>'659 PROFESSIONAL SVCS'!I14</f>
        <v>36900</v>
      </c>
      <c r="H45" s="937">
        <f t="shared" si="0"/>
        <v>8.5294117647058743E-2</v>
      </c>
      <c r="I45" s="599">
        <f t="shared" si="1"/>
        <v>2900</v>
      </c>
    </row>
    <row r="46" spans="1:10" ht="12.6" customHeight="1" x14ac:dyDescent="0.2">
      <c r="A46" s="75">
        <v>660</v>
      </c>
      <c r="B46" s="80" t="s">
        <v>199</v>
      </c>
      <c r="C46" s="617"/>
      <c r="D46" s="629">
        <v>57800</v>
      </c>
      <c r="E46" s="599"/>
      <c r="F46" s="604">
        <f>'660 PUBLIC NOTICES'!I13</f>
        <v>7800</v>
      </c>
      <c r="H46" s="937">
        <f t="shared" si="0"/>
        <v>-0.86505190311418678</v>
      </c>
      <c r="I46" s="599">
        <f t="shared" si="1"/>
        <v>-50000</v>
      </c>
      <c r="J46" s="249" t="s">
        <v>787</v>
      </c>
    </row>
    <row r="47" spans="1:10" ht="12.6" customHeight="1" x14ac:dyDescent="0.2">
      <c r="A47" s="75">
        <v>661</v>
      </c>
      <c r="B47" s="80" t="s">
        <v>116</v>
      </c>
      <c r="C47" s="617"/>
      <c r="D47" s="629">
        <v>9520</v>
      </c>
      <c r="E47" s="599"/>
      <c r="F47" s="604">
        <f>'661 TELEPHONE'!I12</f>
        <v>11320</v>
      </c>
      <c r="H47" s="937">
        <f t="shared" si="0"/>
        <v>0.18907563025210083</v>
      </c>
      <c r="I47" s="599">
        <f t="shared" si="1"/>
        <v>1800</v>
      </c>
      <c r="J47" s="249" t="s">
        <v>800</v>
      </c>
    </row>
    <row r="48" spans="1:10" ht="12.6" customHeight="1" x14ac:dyDescent="0.2">
      <c r="A48" s="75">
        <v>662</v>
      </c>
      <c r="B48" s="80" t="s">
        <v>117</v>
      </c>
      <c r="C48" s="617"/>
      <c r="D48" s="629">
        <v>74640</v>
      </c>
      <c r="E48" s="599"/>
      <c r="F48" s="604">
        <f>'662 UTILITIES'!I17</f>
        <v>74639.64</v>
      </c>
      <c r="H48" s="937">
        <f t="shared" si="0"/>
        <v>-4.8231511253771231E-6</v>
      </c>
      <c r="I48" s="599">
        <v>0</v>
      </c>
    </row>
    <row r="49" spans="1:10" ht="12.6" customHeight="1" x14ac:dyDescent="0.2">
      <c r="A49" s="75">
        <v>663</v>
      </c>
      <c r="B49" s="80" t="s">
        <v>127</v>
      </c>
      <c r="C49" s="617"/>
      <c r="D49" s="629">
        <v>347850</v>
      </c>
      <c r="E49" s="599"/>
      <c r="F49" s="604">
        <f>'663 BOND DEBT SVC'!I15</f>
        <v>352050</v>
      </c>
      <c r="H49" s="937">
        <f t="shared" si="0"/>
        <v>1.2074169900819332E-2</v>
      </c>
      <c r="I49" s="599">
        <f t="shared" si="1"/>
        <v>4200</v>
      </c>
    </row>
    <row r="50" spans="1:10" ht="12.6" customHeight="1" x14ac:dyDescent="0.2">
      <c r="A50" s="75">
        <v>664</v>
      </c>
      <c r="B50" s="80" t="s">
        <v>200</v>
      </c>
      <c r="C50" s="617"/>
      <c r="D50" s="629">
        <v>4000</v>
      </c>
      <c r="E50" s="599"/>
      <c r="F50" s="601">
        <f>'664 TCESD COMPENSATION'!I11</f>
        <v>4000</v>
      </c>
      <c r="H50" s="937">
        <f t="shared" si="0"/>
        <v>0</v>
      </c>
      <c r="I50" s="599">
        <f t="shared" si="1"/>
        <v>0</v>
      </c>
    </row>
    <row r="51" spans="1:10" x14ac:dyDescent="0.2">
      <c r="A51" s="75">
        <v>665</v>
      </c>
      <c r="B51" s="80" t="s">
        <v>23</v>
      </c>
      <c r="C51" s="617"/>
      <c r="D51" s="629">
        <v>27500</v>
      </c>
      <c r="E51" s="599"/>
      <c r="F51" s="604">
        <f>'665 GRANT MATCHING'!I13</f>
        <v>27500</v>
      </c>
      <c r="H51" s="937">
        <f t="shared" si="0"/>
        <v>0</v>
      </c>
      <c r="I51" s="599">
        <f t="shared" si="1"/>
        <v>0</v>
      </c>
      <c r="J51" s="249"/>
    </row>
    <row r="52" spans="1:10" ht="12.6" customHeight="1" x14ac:dyDescent="0.2">
      <c r="A52" s="75">
        <v>671</v>
      </c>
      <c r="B52" s="80" t="s">
        <v>100</v>
      </c>
      <c r="C52" s="617"/>
      <c r="D52" s="629">
        <v>950</v>
      </c>
      <c r="E52" s="599"/>
      <c r="F52" s="604">
        <f>'671 PREVENTION'!I17</f>
        <v>950</v>
      </c>
      <c r="H52" s="937">
        <f t="shared" si="0"/>
        <v>0</v>
      </c>
      <c r="I52" s="599">
        <f t="shared" si="1"/>
        <v>0</v>
      </c>
      <c r="J52" s="249"/>
    </row>
    <row r="53" spans="1:10" ht="12.6" customHeight="1" x14ac:dyDescent="0.2">
      <c r="A53" s="75">
        <v>672</v>
      </c>
      <c r="B53" s="80" t="s">
        <v>212</v>
      </c>
      <c r="C53" s="617"/>
      <c r="D53" s="629">
        <v>15700</v>
      </c>
      <c r="E53" s="599"/>
      <c r="F53" s="604">
        <f>'672 PUBLIC EDUCATION'!I15</f>
        <v>30600</v>
      </c>
      <c r="H53" s="937">
        <f t="shared" si="0"/>
        <v>0.94904458598726116</v>
      </c>
      <c r="I53" s="599">
        <f t="shared" si="1"/>
        <v>14900</v>
      </c>
      <c r="J53" s="249" t="s">
        <v>788</v>
      </c>
    </row>
    <row r="54" spans="1:10" ht="17.25" customHeight="1" thickBot="1" x14ac:dyDescent="0.25">
      <c r="A54" s="178"/>
      <c r="B54" s="179" t="s">
        <v>122</v>
      </c>
      <c r="C54" s="626"/>
      <c r="D54" s="631">
        <f>SUM(D13:D53)</f>
        <v>5262368</v>
      </c>
      <c r="E54" s="627"/>
      <c r="F54" s="553">
        <f>SUM(F13:F53)</f>
        <v>5423601.3097542701</v>
      </c>
      <c r="H54" s="937">
        <f t="shared" si="0"/>
        <v>3.063892714349703E-2</v>
      </c>
      <c r="I54" s="599">
        <f t="shared" si="1"/>
        <v>161233.30975427013</v>
      </c>
    </row>
    <row r="55" spans="1:10" ht="13.5" hidden="1" thickTop="1" x14ac:dyDescent="0.2">
      <c r="B55" s="21" t="s">
        <v>234</v>
      </c>
      <c r="C55" s="620"/>
      <c r="D55" s="623"/>
      <c r="E55" s="599"/>
      <c r="F55" s="254"/>
      <c r="H55" s="937" t="e">
        <f t="shared" si="0"/>
        <v>#DIV/0!</v>
      </c>
      <c r="I55" s="254"/>
    </row>
    <row r="56" spans="1:10" ht="8.25" customHeight="1" thickTop="1" x14ac:dyDescent="0.2">
      <c r="D56" s="624"/>
      <c r="E56" s="599"/>
      <c r="F56" s="254"/>
      <c r="H56" s="937"/>
      <c r="I56" s="254"/>
    </row>
    <row r="57" spans="1:10" ht="15" x14ac:dyDescent="0.35">
      <c r="B57" t="s">
        <v>702</v>
      </c>
      <c r="D57" s="606"/>
      <c r="E57" s="606"/>
      <c r="F57" s="606">
        <f>F11-F54</f>
        <v>112107.04219072964</v>
      </c>
      <c r="H57" s="937"/>
      <c r="I57" s="254"/>
    </row>
    <row r="58" spans="1:10" x14ac:dyDescent="0.2">
      <c r="E58" s="599"/>
      <c r="F58" s="254"/>
    </row>
    <row r="59" spans="1:10" x14ac:dyDescent="0.2">
      <c r="E59" s="599"/>
      <c r="F59" s="254"/>
    </row>
    <row r="60" spans="1:10" x14ac:dyDescent="0.2">
      <c r="E60" s="254"/>
      <c r="F60" s="254"/>
    </row>
    <row r="61" spans="1:10" x14ac:dyDescent="0.2">
      <c r="E61" s="254"/>
      <c r="F61" s="254"/>
    </row>
  </sheetData>
  <phoneticPr fontId="20" type="noConversion"/>
  <printOptions horizontalCentered="1"/>
  <pageMargins left="0.5" right="0.25" top="0.5" bottom="0.25" header="0" footer="0"/>
  <pageSetup scale="74" orientation="portrait" r:id="rId1"/>
  <headerFooter alignWithMargins="0">
    <oddFooter>&amp;L&amp;F, &amp;A&amp;R&amp;D,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32"/>
  <sheetViews>
    <sheetView workbookViewId="0">
      <pane ySplit="3" topLeftCell="A4" activePane="bottomLeft" state="frozen"/>
      <selection pane="bottomLeft"/>
    </sheetView>
  </sheetViews>
  <sheetFormatPr defaultRowHeight="18.75" customHeight="1" x14ac:dyDescent="0.3"/>
  <cols>
    <col min="1" max="1" width="38" style="97" bestFit="1" customWidth="1"/>
    <col min="2" max="4" width="11.7109375" style="27" hidden="1" customWidth="1"/>
    <col min="5" max="5" width="11.42578125" style="27" hidden="1" customWidth="1"/>
    <col min="6" max="6" width="11.85546875" style="27" hidden="1" customWidth="1"/>
    <col min="7" max="7" width="12" style="27" customWidth="1"/>
    <col min="8" max="8" width="12" style="27" bestFit="1" customWidth="1"/>
    <col min="9" max="16384" width="9.140625" style="27"/>
  </cols>
  <sheetData>
    <row r="1" spans="1:9" s="46" customFormat="1" ht="18.75" customHeight="1" x14ac:dyDescent="0.3">
      <c r="A1" s="571" t="s">
        <v>201</v>
      </c>
      <c r="B1" s="190"/>
      <c r="C1" s="190"/>
      <c r="D1" s="190"/>
      <c r="E1" s="203"/>
      <c r="F1" s="203"/>
      <c r="G1" s="203"/>
      <c r="H1" s="203"/>
      <c r="I1" s="203"/>
    </row>
    <row r="2" spans="1:9" ht="18.75" customHeight="1" x14ac:dyDescent="0.3">
      <c r="A2" s="126"/>
      <c r="B2" s="98"/>
      <c r="C2" s="98"/>
      <c r="D2" s="98"/>
      <c r="E2" s="49"/>
      <c r="F2" s="49"/>
      <c r="G2" s="49"/>
      <c r="H2" s="49"/>
      <c r="I2" s="49"/>
    </row>
    <row r="3" spans="1:9" s="46" customFormat="1" ht="18.75" customHeight="1" x14ac:dyDescent="0.3">
      <c r="A3" s="37" t="s">
        <v>124</v>
      </c>
      <c r="B3" s="41">
        <v>2010</v>
      </c>
      <c r="C3" s="99">
        <v>2013</v>
      </c>
      <c r="D3" s="99">
        <v>2014</v>
      </c>
      <c r="E3" s="99">
        <v>2015</v>
      </c>
      <c r="F3" s="99">
        <v>2016</v>
      </c>
      <c r="G3" s="99">
        <v>2017</v>
      </c>
      <c r="H3" s="99">
        <v>2018</v>
      </c>
      <c r="I3" s="99">
        <v>2019</v>
      </c>
    </row>
    <row r="4" spans="1:9" s="123" customFormat="1" ht="18.75" customHeight="1" x14ac:dyDescent="0.3">
      <c r="A4" s="131"/>
      <c r="B4" s="101"/>
      <c r="C4" s="114"/>
      <c r="D4" s="114"/>
      <c r="E4" s="114"/>
      <c r="F4" s="727"/>
      <c r="G4" s="727"/>
      <c r="H4" s="727"/>
      <c r="I4" s="727"/>
    </row>
    <row r="5" spans="1:9" s="46" customFormat="1" ht="17.100000000000001" customHeight="1" x14ac:dyDescent="0.3">
      <c r="A5" s="39" t="s">
        <v>147</v>
      </c>
      <c r="B5" s="42">
        <v>500</v>
      </c>
      <c r="C5" s="53">
        <v>500</v>
      </c>
      <c r="D5" s="53">
        <v>500</v>
      </c>
      <c r="E5" s="53">
        <v>500</v>
      </c>
      <c r="F5" s="728">
        <v>300</v>
      </c>
      <c r="G5" s="728">
        <v>300</v>
      </c>
      <c r="H5" s="728">
        <v>300</v>
      </c>
      <c r="I5" s="728">
        <v>300</v>
      </c>
    </row>
    <row r="6" spans="1:9" s="46" customFormat="1" ht="17.100000000000001" customHeight="1" x14ac:dyDescent="0.3">
      <c r="A6" s="39" t="s">
        <v>147</v>
      </c>
      <c r="B6" s="42">
        <v>500</v>
      </c>
      <c r="C6" s="53">
        <v>500</v>
      </c>
      <c r="D6" s="53">
        <v>500</v>
      </c>
      <c r="E6" s="53">
        <v>500</v>
      </c>
      <c r="F6" s="728">
        <v>300</v>
      </c>
      <c r="G6" s="728">
        <v>300</v>
      </c>
      <c r="H6" s="728">
        <v>300</v>
      </c>
      <c r="I6" s="728">
        <v>300</v>
      </c>
    </row>
    <row r="7" spans="1:9" ht="17.100000000000001" customHeight="1" x14ac:dyDescent="0.3">
      <c r="A7" s="39" t="s">
        <v>147</v>
      </c>
      <c r="B7" s="42">
        <v>500</v>
      </c>
      <c r="C7" s="53">
        <v>500</v>
      </c>
      <c r="D7" s="53">
        <v>500</v>
      </c>
      <c r="E7" s="53">
        <v>500</v>
      </c>
      <c r="F7" s="728">
        <v>300</v>
      </c>
      <c r="G7" s="728">
        <v>300</v>
      </c>
      <c r="H7" s="728">
        <v>300</v>
      </c>
      <c r="I7" s="728">
        <v>300</v>
      </c>
    </row>
    <row r="8" spans="1:9" ht="17.100000000000001" customHeight="1" x14ac:dyDescent="0.3">
      <c r="A8" s="39" t="s">
        <v>147</v>
      </c>
      <c r="B8" s="42">
        <v>500</v>
      </c>
      <c r="C8" s="53">
        <v>500</v>
      </c>
      <c r="D8" s="53">
        <v>500</v>
      </c>
      <c r="E8" s="53">
        <v>500</v>
      </c>
      <c r="F8" s="728">
        <v>300</v>
      </c>
      <c r="G8" s="728">
        <v>300</v>
      </c>
      <c r="H8" s="728">
        <v>300</v>
      </c>
      <c r="I8" s="728">
        <v>300</v>
      </c>
    </row>
    <row r="9" spans="1:9" ht="17.100000000000001" customHeight="1" x14ac:dyDescent="0.3">
      <c r="A9" s="39" t="s">
        <v>148</v>
      </c>
      <c r="B9" s="42">
        <v>1500</v>
      </c>
      <c r="C9" s="53">
        <v>1500</v>
      </c>
      <c r="D9" s="53">
        <v>2000</v>
      </c>
      <c r="E9" s="53"/>
      <c r="F9" s="728">
        <v>500</v>
      </c>
      <c r="G9" s="728">
        <v>500</v>
      </c>
      <c r="H9" s="728">
        <v>500</v>
      </c>
      <c r="I9" s="728">
        <v>300</v>
      </c>
    </row>
    <row r="10" spans="1:9" ht="17.100000000000001" customHeight="1" x14ac:dyDescent="0.3">
      <c r="A10" s="39" t="s">
        <v>149</v>
      </c>
      <c r="B10" s="42">
        <v>1900</v>
      </c>
      <c r="C10" s="53">
        <v>4000</v>
      </c>
      <c r="D10" s="53">
        <v>5000</v>
      </c>
      <c r="E10" s="53">
        <v>5000</v>
      </c>
      <c r="F10" s="728">
        <v>5000</v>
      </c>
      <c r="G10" s="728">
        <v>5000</v>
      </c>
      <c r="H10" s="728">
        <v>5000</v>
      </c>
      <c r="I10" s="728">
        <v>5000</v>
      </c>
    </row>
    <row r="11" spans="1:9" ht="17.100000000000001" customHeight="1" x14ac:dyDescent="0.3">
      <c r="A11" s="39" t="s">
        <v>764</v>
      </c>
      <c r="B11" s="62">
        <v>1080</v>
      </c>
      <c r="C11" s="53">
        <v>1500</v>
      </c>
      <c r="D11" s="53">
        <v>1500</v>
      </c>
      <c r="E11" s="53">
        <v>1500</v>
      </c>
      <c r="F11" s="728">
        <f>30*35</f>
        <v>1050</v>
      </c>
      <c r="G11" s="728">
        <f>30*35</f>
        <v>1050</v>
      </c>
      <c r="H11" s="728">
        <f>30*35</f>
        <v>1050</v>
      </c>
      <c r="I11" s="728">
        <f>32*44</f>
        <v>1408</v>
      </c>
    </row>
    <row r="12" spans="1:9" ht="17.100000000000001" customHeight="1" x14ac:dyDescent="0.3">
      <c r="A12" s="38" t="s">
        <v>763</v>
      </c>
      <c r="B12" s="62"/>
      <c r="C12" s="61">
        <v>1300</v>
      </c>
      <c r="D12" s="61">
        <v>1000</v>
      </c>
      <c r="E12" s="61">
        <v>1000</v>
      </c>
      <c r="F12" s="729">
        <f>35*29</f>
        <v>1015</v>
      </c>
      <c r="G12" s="729">
        <f>43*29</f>
        <v>1247</v>
      </c>
      <c r="H12" s="729">
        <f>43*29</f>
        <v>1247</v>
      </c>
      <c r="I12" s="729">
        <f>35*30</f>
        <v>1050</v>
      </c>
    </row>
    <row r="13" spans="1:9" ht="17.100000000000001" customHeight="1" x14ac:dyDescent="0.3">
      <c r="A13" s="39" t="s">
        <v>717</v>
      </c>
      <c r="B13" s="62">
        <v>1000</v>
      </c>
      <c r="C13" s="53">
        <v>750</v>
      </c>
      <c r="D13" s="53">
        <v>1000</v>
      </c>
      <c r="E13" s="53"/>
      <c r="F13" s="728">
        <f>4*255</f>
        <v>1020</v>
      </c>
      <c r="G13" s="728">
        <f>4*255</f>
        <v>1020</v>
      </c>
      <c r="H13" s="728">
        <f>4*255</f>
        <v>1020</v>
      </c>
      <c r="I13" s="728">
        <f>4*275</f>
        <v>1100</v>
      </c>
    </row>
    <row r="14" spans="1:9" ht="17.100000000000001" customHeight="1" x14ac:dyDescent="0.3">
      <c r="A14" s="39" t="s">
        <v>110</v>
      </c>
      <c r="B14" s="62">
        <v>100</v>
      </c>
      <c r="C14" s="53">
        <v>100</v>
      </c>
      <c r="D14" s="53">
        <v>100</v>
      </c>
      <c r="E14" s="53">
        <v>100</v>
      </c>
      <c r="F14" s="728">
        <v>100</v>
      </c>
      <c r="G14" s="728">
        <v>100</v>
      </c>
      <c r="H14" s="728">
        <v>100</v>
      </c>
      <c r="I14" s="728">
        <v>100</v>
      </c>
    </row>
    <row r="15" spans="1:9" ht="17.100000000000001" hidden="1" customHeight="1" x14ac:dyDescent="0.3">
      <c r="A15" s="38" t="s">
        <v>453</v>
      </c>
      <c r="B15" s="62">
        <v>300</v>
      </c>
      <c r="C15" s="61">
        <v>750</v>
      </c>
      <c r="D15" s="61"/>
      <c r="E15" s="61"/>
      <c r="F15" s="729">
        <v>0</v>
      </c>
      <c r="G15" s="729">
        <v>0</v>
      </c>
      <c r="H15" s="729">
        <v>0</v>
      </c>
      <c r="I15" s="729">
        <v>0</v>
      </c>
    </row>
    <row r="16" spans="1:9" ht="17.100000000000001" customHeight="1" x14ac:dyDescent="0.3">
      <c r="A16" s="38" t="s">
        <v>762</v>
      </c>
      <c r="B16" s="62">
        <v>2312</v>
      </c>
      <c r="C16" s="61"/>
      <c r="D16" s="61">
        <v>1000</v>
      </c>
      <c r="E16" s="61">
        <v>1000</v>
      </c>
      <c r="F16" s="729">
        <v>0</v>
      </c>
      <c r="G16" s="729">
        <v>0</v>
      </c>
      <c r="H16" s="729">
        <f>25*35</f>
        <v>875</v>
      </c>
      <c r="I16" s="729">
        <f>25*35</f>
        <v>875</v>
      </c>
    </row>
    <row r="17" spans="1:9" ht="17.100000000000001" hidden="1" customHeight="1" x14ac:dyDescent="0.3">
      <c r="A17" s="38" t="s">
        <v>454</v>
      </c>
      <c r="B17" s="62"/>
      <c r="C17" s="61"/>
      <c r="D17" s="61">
        <v>6800</v>
      </c>
      <c r="E17" s="61"/>
      <c r="F17" s="729">
        <v>2500</v>
      </c>
      <c r="G17" s="729">
        <v>0</v>
      </c>
      <c r="H17" s="729">
        <v>0</v>
      </c>
      <c r="I17" s="729">
        <v>0</v>
      </c>
    </row>
    <row r="18" spans="1:9" ht="17.100000000000001" customHeight="1" x14ac:dyDescent="0.3">
      <c r="A18" s="38" t="s">
        <v>765</v>
      </c>
      <c r="B18" s="107"/>
      <c r="C18" s="106"/>
      <c r="D18" s="106">
        <v>18000</v>
      </c>
      <c r="E18" s="106"/>
      <c r="F18" s="730">
        <f>25*1055</f>
        <v>26375</v>
      </c>
      <c r="G18" s="730">
        <v>1000</v>
      </c>
      <c r="H18" s="730">
        <f>1000*12</f>
        <v>12000</v>
      </c>
      <c r="I18" s="730">
        <f>1000*25</f>
        <v>25000</v>
      </c>
    </row>
    <row r="19" spans="1:9" ht="17.100000000000001" customHeight="1" x14ac:dyDescent="0.3">
      <c r="A19" s="132" t="s">
        <v>511</v>
      </c>
      <c r="B19" s="107"/>
      <c r="C19" s="106"/>
      <c r="D19" s="106"/>
      <c r="E19" s="106">
        <v>62650.8</v>
      </c>
      <c r="F19" s="730">
        <f>10*5245</f>
        <v>52450</v>
      </c>
      <c r="G19" s="731">
        <f>10*5606</f>
        <v>56060</v>
      </c>
      <c r="H19" s="731">
        <v>0</v>
      </c>
      <c r="I19" s="731">
        <v>0</v>
      </c>
    </row>
    <row r="20" spans="1:9" ht="17.100000000000001" hidden="1" customHeight="1" x14ac:dyDescent="0.3">
      <c r="A20" s="132" t="s">
        <v>512</v>
      </c>
      <c r="B20" s="107"/>
      <c r="C20" s="106"/>
      <c r="D20" s="106"/>
      <c r="E20" s="106">
        <v>20979</v>
      </c>
      <c r="F20" s="730">
        <v>10500</v>
      </c>
      <c r="G20" s="730">
        <v>0</v>
      </c>
      <c r="H20" s="730">
        <v>0</v>
      </c>
      <c r="I20" s="730">
        <v>0</v>
      </c>
    </row>
    <row r="21" spans="1:9" ht="17.100000000000001" customHeight="1" x14ac:dyDescent="0.3">
      <c r="A21" s="132" t="s">
        <v>636</v>
      </c>
      <c r="B21" s="107"/>
      <c r="C21" s="106"/>
      <c r="D21" s="106"/>
      <c r="E21" s="106"/>
      <c r="F21" s="730">
        <v>0</v>
      </c>
      <c r="G21" s="731">
        <v>3000</v>
      </c>
      <c r="H21" s="731">
        <f>1500*2</f>
        <v>3000</v>
      </c>
      <c r="I21" s="731">
        <v>0</v>
      </c>
    </row>
    <row r="22" spans="1:9" ht="17.100000000000001" customHeight="1" x14ac:dyDescent="0.3">
      <c r="A22" s="132" t="s">
        <v>674</v>
      </c>
      <c r="B22" s="107"/>
      <c r="C22" s="106"/>
      <c r="D22" s="106"/>
      <c r="E22" s="106"/>
      <c r="F22" s="730">
        <v>0</v>
      </c>
      <c r="G22" s="731">
        <v>0</v>
      </c>
      <c r="H22" s="731">
        <f>7000+2000</f>
        <v>9000</v>
      </c>
      <c r="I22" s="731">
        <v>0</v>
      </c>
    </row>
    <row r="23" spans="1:9" ht="17.100000000000001" customHeight="1" thickBot="1" x14ac:dyDescent="0.35">
      <c r="A23" s="512"/>
      <c r="B23" s="62">
        <v>-200</v>
      </c>
      <c r="C23" s="61"/>
      <c r="D23" s="61"/>
      <c r="E23" s="61"/>
      <c r="F23" s="729"/>
      <c r="G23" s="732"/>
      <c r="H23" s="732"/>
      <c r="I23" s="732"/>
    </row>
    <row r="24" spans="1:9" ht="18.75" customHeight="1" thickTop="1" x14ac:dyDescent="0.3">
      <c r="A24" s="88" t="s">
        <v>122</v>
      </c>
      <c r="B24" s="44">
        <f>SUM(B4:B21)</f>
        <v>10192</v>
      </c>
      <c r="C24" s="133">
        <f>SUM(C4:C21)</f>
        <v>11900</v>
      </c>
      <c r="D24" s="133">
        <f>SUM(D4:D21)</f>
        <v>38400</v>
      </c>
      <c r="E24" s="133">
        <f>SUM(E5:E23)</f>
        <v>94229.8</v>
      </c>
      <c r="F24" s="725">
        <f>SUM(F5:F23)</f>
        <v>101710</v>
      </c>
      <c r="G24" s="726">
        <f>SUM(G5:G23)</f>
        <v>70177</v>
      </c>
      <c r="H24" s="726">
        <f>SUM(H5:H23)</f>
        <v>34992</v>
      </c>
      <c r="I24" s="726">
        <f>SUM(I5:I23)</f>
        <v>36033</v>
      </c>
    </row>
    <row r="25" spans="1:9" ht="18.75" customHeight="1" x14ac:dyDescent="0.3">
      <c r="A25" s="17"/>
    </row>
    <row r="26" spans="1:9" ht="18.75" customHeight="1" x14ac:dyDescent="0.3">
      <c r="A26" s="17"/>
    </row>
    <row r="27" spans="1:9" ht="18.75" customHeight="1" x14ac:dyDescent="0.3">
      <c r="A27" s="17"/>
    </row>
    <row r="28" spans="1:9" ht="18.75" customHeight="1" x14ac:dyDescent="0.3">
      <c r="A28" s="17"/>
    </row>
    <row r="29" spans="1:9" ht="18.75" customHeight="1" x14ac:dyDescent="0.3">
      <c r="A29" s="17"/>
    </row>
    <row r="30" spans="1:9" ht="18.75" customHeight="1" x14ac:dyDescent="0.3">
      <c r="A30" s="17"/>
    </row>
    <row r="31" spans="1:9" ht="18.75" customHeight="1" x14ac:dyDescent="0.3">
      <c r="A31" s="17"/>
    </row>
    <row r="32" spans="1:9" ht="18.75" customHeight="1" x14ac:dyDescent="0.3">
      <c r="A32" s="17"/>
    </row>
  </sheetData>
  <phoneticPr fontId="20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23"/>
  <sheetViews>
    <sheetView workbookViewId="0"/>
  </sheetViews>
  <sheetFormatPr defaultRowHeight="16.5" x14ac:dyDescent="0.3"/>
  <cols>
    <col min="1" max="1" width="34.140625" style="111" customWidth="1"/>
    <col min="2" max="4" width="11.7109375" style="111" hidden="1" customWidth="1"/>
    <col min="5" max="6" width="12.5703125" style="111" hidden="1" customWidth="1"/>
    <col min="7" max="8" width="12.5703125" style="111" customWidth="1"/>
    <col min="9" max="16384" width="9.140625" style="111"/>
  </cols>
  <sheetData>
    <row r="1" spans="1:9" x14ac:dyDescent="0.3">
      <c r="A1" s="571" t="s">
        <v>519</v>
      </c>
      <c r="B1" s="203"/>
      <c r="C1" s="203"/>
      <c r="D1" s="203"/>
      <c r="E1" s="206"/>
      <c r="F1" s="206"/>
      <c r="G1" s="206"/>
      <c r="H1" s="206"/>
      <c r="I1" s="206"/>
    </row>
    <row r="2" spans="1:9" x14ac:dyDescent="0.3">
      <c r="A2" s="126"/>
      <c r="B2" s="49"/>
      <c r="C2" s="49"/>
      <c r="D2" s="49"/>
      <c r="E2" s="49"/>
      <c r="F2" s="49"/>
      <c r="G2" s="49"/>
      <c r="H2" s="49"/>
      <c r="I2" s="49"/>
    </row>
    <row r="3" spans="1:9" x14ac:dyDescent="0.3">
      <c r="A3" s="37" t="s">
        <v>124</v>
      </c>
      <c r="B3" s="99">
        <v>2010</v>
      </c>
      <c r="C3" s="99">
        <v>2013</v>
      </c>
      <c r="D3" s="99">
        <v>2014</v>
      </c>
      <c r="E3" s="99">
        <v>2015</v>
      </c>
      <c r="F3" s="99">
        <v>2016</v>
      </c>
      <c r="G3" s="99">
        <v>2017</v>
      </c>
      <c r="H3" s="99">
        <v>2018</v>
      </c>
      <c r="I3" s="99">
        <v>2019</v>
      </c>
    </row>
    <row r="4" spans="1:9" x14ac:dyDescent="0.3">
      <c r="A4" s="54"/>
      <c r="B4" s="49"/>
      <c r="C4" s="54"/>
      <c r="D4" s="54"/>
      <c r="E4" s="54"/>
      <c r="F4" s="665"/>
      <c r="G4" s="665"/>
      <c r="H4" s="665"/>
      <c r="I4" s="665"/>
    </row>
    <row r="5" spans="1:9" x14ac:dyDescent="0.3">
      <c r="A5" s="39" t="s">
        <v>112</v>
      </c>
      <c r="B5" s="49">
        <v>1800</v>
      </c>
      <c r="C5" s="36">
        <v>2100</v>
      </c>
      <c r="D5" s="36">
        <v>2100</v>
      </c>
      <c r="E5" s="36">
        <v>2100</v>
      </c>
      <c r="F5" s="733">
        <v>2200</v>
      </c>
      <c r="G5" s="733">
        <v>2400</v>
      </c>
      <c r="H5" s="733">
        <v>2400</v>
      </c>
      <c r="I5" s="733">
        <v>2400</v>
      </c>
    </row>
    <row r="6" spans="1:9" x14ac:dyDescent="0.3">
      <c r="A6" s="39" t="s">
        <v>278</v>
      </c>
      <c r="B6" s="49">
        <v>16000</v>
      </c>
      <c r="C6" s="49">
        <v>17000</v>
      </c>
      <c r="D6" s="49">
        <v>30000</v>
      </c>
      <c r="E6" s="49">
        <v>30000</v>
      </c>
      <c r="F6" s="728">
        <v>30000</v>
      </c>
      <c r="G6" s="728">
        <v>31000</v>
      </c>
      <c r="H6" s="728">
        <v>31000</v>
      </c>
      <c r="I6" s="728">
        <v>30000</v>
      </c>
    </row>
    <row r="7" spans="1:9" x14ac:dyDescent="0.3">
      <c r="A7" s="39" t="s">
        <v>111</v>
      </c>
      <c r="B7" s="49">
        <v>1000</v>
      </c>
      <c r="C7" s="36">
        <v>1200</v>
      </c>
      <c r="D7" s="36">
        <v>1350</v>
      </c>
      <c r="E7" s="36">
        <v>1350</v>
      </c>
      <c r="F7" s="733">
        <v>1500</v>
      </c>
      <c r="G7" s="733">
        <v>1600</v>
      </c>
      <c r="H7" s="733">
        <v>1600</v>
      </c>
      <c r="I7" s="733">
        <v>1800</v>
      </c>
    </row>
    <row r="8" spans="1:9" x14ac:dyDescent="0.3">
      <c r="A8" s="39" t="s">
        <v>188</v>
      </c>
      <c r="B8" s="49">
        <v>1000</v>
      </c>
      <c r="C8" s="49">
        <v>500</v>
      </c>
      <c r="D8" s="49">
        <v>600</v>
      </c>
      <c r="E8" s="49">
        <v>800</v>
      </c>
      <c r="F8" s="728">
        <v>800</v>
      </c>
      <c r="G8" s="728">
        <v>1200</v>
      </c>
      <c r="H8" s="728">
        <v>1200</v>
      </c>
      <c r="I8" s="728">
        <v>1200</v>
      </c>
    </row>
    <row r="9" spans="1:9" x14ac:dyDescent="0.3">
      <c r="A9" s="39" t="s">
        <v>277</v>
      </c>
      <c r="B9" s="49">
        <v>19000</v>
      </c>
      <c r="C9" s="49">
        <v>20000</v>
      </c>
      <c r="D9" s="49">
        <v>25000</v>
      </c>
      <c r="E9" s="49">
        <v>25000</v>
      </c>
      <c r="F9" s="728">
        <v>25000</v>
      </c>
      <c r="G9" s="728">
        <v>27500</v>
      </c>
      <c r="H9" s="728">
        <v>27500</v>
      </c>
      <c r="I9" s="728">
        <v>28000</v>
      </c>
    </row>
    <row r="10" spans="1:9" x14ac:dyDescent="0.3">
      <c r="A10" s="39" t="s">
        <v>132</v>
      </c>
      <c r="B10" s="49">
        <v>3500</v>
      </c>
      <c r="C10" s="49">
        <v>2000</v>
      </c>
      <c r="D10" s="49">
        <v>3000</v>
      </c>
      <c r="E10" s="49">
        <v>3000</v>
      </c>
      <c r="F10" s="728">
        <v>3500</v>
      </c>
      <c r="G10" s="728">
        <v>3500</v>
      </c>
      <c r="H10" s="728">
        <v>3500</v>
      </c>
      <c r="I10" s="728">
        <v>3500</v>
      </c>
    </row>
    <row r="11" spans="1:9" x14ac:dyDescent="0.3">
      <c r="A11" s="39" t="s">
        <v>91</v>
      </c>
      <c r="B11" s="36">
        <v>1000</v>
      </c>
      <c r="C11" s="36">
        <v>1200</v>
      </c>
      <c r="D11" s="36">
        <v>1700</v>
      </c>
      <c r="E11" s="36">
        <v>1700</v>
      </c>
      <c r="F11" s="733">
        <v>2500</v>
      </c>
      <c r="G11" s="733">
        <v>2500</v>
      </c>
      <c r="H11" s="733">
        <v>4000</v>
      </c>
      <c r="I11" s="733">
        <v>5000</v>
      </c>
    </row>
    <row r="12" spans="1:9" x14ac:dyDescent="0.3">
      <c r="A12" s="39" t="s">
        <v>513</v>
      </c>
      <c r="B12" s="36">
        <v>2500</v>
      </c>
      <c r="C12" s="49">
        <v>2000</v>
      </c>
      <c r="D12" s="49">
        <v>2000</v>
      </c>
      <c r="E12" s="49">
        <v>2000</v>
      </c>
      <c r="F12" s="728">
        <v>2000</v>
      </c>
      <c r="G12" s="728">
        <v>2500</v>
      </c>
      <c r="H12" s="728">
        <v>2500</v>
      </c>
      <c r="I12" s="728">
        <v>2500</v>
      </c>
    </row>
    <row r="13" spans="1:9" x14ac:dyDescent="0.3">
      <c r="A13" s="39" t="s">
        <v>187</v>
      </c>
      <c r="B13" s="49">
        <v>9000</v>
      </c>
      <c r="C13" s="49">
        <v>12000</v>
      </c>
      <c r="D13" s="49">
        <v>15000</v>
      </c>
      <c r="E13" s="49">
        <v>16000</v>
      </c>
      <c r="F13" s="728">
        <v>12000</v>
      </c>
      <c r="G13" s="728">
        <v>13000</v>
      </c>
      <c r="H13" s="728">
        <v>13000</v>
      </c>
      <c r="I13" s="728">
        <v>14000</v>
      </c>
    </row>
    <row r="14" spans="1:9" x14ac:dyDescent="0.3">
      <c r="A14" s="39" t="s">
        <v>186</v>
      </c>
      <c r="B14" s="36">
        <v>3000</v>
      </c>
      <c r="C14" s="49">
        <v>2500</v>
      </c>
      <c r="D14" s="49">
        <v>3000</v>
      </c>
      <c r="E14" s="49">
        <v>3000</v>
      </c>
      <c r="F14" s="728">
        <v>3000</v>
      </c>
      <c r="G14" s="728">
        <v>3000</v>
      </c>
      <c r="H14" s="728">
        <v>3000</v>
      </c>
      <c r="I14" s="728">
        <v>3000</v>
      </c>
    </row>
    <row r="15" spans="1:9" x14ac:dyDescent="0.3">
      <c r="A15" s="39" t="s">
        <v>576</v>
      </c>
      <c r="B15" s="36">
        <v>350</v>
      </c>
      <c r="C15" s="49">
        <v>250</v>
      </c>
      <c r="D15" s="49">
        <v>300</v>
      </c>
      <c r="E15" s="49">
        <v>300</v>
      </c>
      <c r="F15" s="728">
        <v>400</v>
      </c>
      <c r="G15" s="728">
        <v>400</v>
      </c>
      <c r="H15" s="728">
        <v>400</v>
      </c>
      <c r="I15" s="728">
        <v>400</v>
      </c>
    </row>
    <row r="16" spans="1:9" hidden="1" x14ac:dyDescent="0.3">
      <c r="A16" s="462" t="s">
        <v>577</v>
      </c>
      <c r="B16" s="107"/>
      <c r="C16" s="449"/>
      <c r="D16" s="449"/>
      <c r="E16" s="449">
        <v>3000</v>
      </c>
      <c r="F16" s="734">
        <v>4800</v>
      </c>
      <c r="G16" s="734">
        <v>0</v>
      </c>
      <c r="H16" s="734">
        <v>0</v>
      </c>
      <c r="I16" s="734">
        <v>0</v>
      </c>
    </row>
    <row r="17" spans="1:9" hidden="1" x14ac:dyDescent="0.3">
      <c r="A17" s="462" t="s">
        <v>514</v>
      </c>
      <c r="B17" s="107"/>
      <c r="C17" s="449"/>
      <c r="D17" s="449"/>
      <c r="E17" s="449">
        <v>2500</v>
      </c>
      <c r="F17" s="734">
        <v>0</v>
      </c>
      <c r="G17" s="734">
        <v>0</v>
      </c>
      <c r="H17" s="734">
        <v>0</v>
      </c>
      <c r="I17" s="734">
        <v>0</v>
      </c>
    </row>
    <row r="18" spans="1:9" hidden="1" x14ac:dyDescent="0.3">
      <c r="A18" s="63" t="s">
        <v>515</v>
      </c>
      <c r="B18" s="107"/>
      <c r="C18" s="449"/>
      <c r="D18" s="449"/>
      <c r="E18" s="449">
        <v>2000</v>
      </c>
      <c r="F18" s="734">
        <v>0</v>
      </c>
      <c r="G18" s="734">
        <v>0</v>
      </c>
      <c r="H18" s="734">
        <v>0</v>
      </c>
      <c r="I18" s="734">
        <v>0</v>
      </c>
    </row>
    <row r="19" spans="1:9" x14ac:dyDescent="0.3">
      <c r="A19" s="63" t="s">
        <v>572</v>
      </c>
      <c r="B19" s="107"/>
      <c r="C19" s="449">
        <v>3000</v>
      </c>
      <c r="D19" s="449">
        <v>3000</v>
      </c>
      <c r="E19" s="449">
        <v>3830</v>
      </c>
      <c r="F19" s="734">
        <v>4400</v>
      </c>
      <c r="G19" s="734">
        <v>4800</v>
      </c>
      <c r="H19" s="734">
        <v>5000</v>
      </c>
      <c r="I19" s="734">
        <v>5000</v>
      </c>
    </row>
    <row r="20" spans="1:9" x14ac:dyDescent="0.3">
      <c r="A20" s="63" t="s">
        <v>640</v>
      </c>
      <c r="B20" s="107"/>
      <c r="C20" s="449"/>
      <c r="D20" s="449"/>
      <c r="E20" s="449"/>
      <c r="F20" s="734">
        <v>0</v>
      </c>
      <c r="G20" s="735">
        <v>2000</v>
      </c>
      <c r="H20" s="735">
        <v>2000</v>
      </c>
      <c r="I20" s="735">
        <v>2000</v>
      </c>
    </row>
    <row r="21" spans="1:9" x14ac:dyDescent="0.3">
      <c r="A21" s="47" t="s">
        <v>641</v>
      </c>
      <c r="B21" s="50"/>
      <c r="C21" s="50"/>
      <c r="D21" s="50"/>
      <c r="E21" s="50"/>
      <c r="F21" s="723">
        <v>0</v>
      </c>
      <c r="G21" s="724">
        <v>2800</v>
      </c>
      <c r="H21" s="724">
        <v>0</v>
      </c>
      <c r="I21" s="724">
        <v>0</v>
      </c>
    </row>
    <row r="22" spans="1:9" ht="17.25" thickBot="1" x14ac:dyDescent="0.35">
      <c r="A22" s="47"/>
      <c r="B22" s="50">
        <v>-15000</v>
      </c>
      <c r="C22" s="50"/>
      <c r="D22" s="50"/>
      <c r="E22" s="50"/>
      <c r="F22" s="723"/>
      <c r="G22" s="724"/>
      <c r="H22" s="724"/>
      <c r="I22" s="724"/>
    </row>
    <row r="23" spans="1:9" ht="17.25" thickTop="1" x14ac:dyDescent="0.3">
      <c r="A23" s="207" t="s">
        <v>122</v>
      </c>
      <c r="B23" s="133">
        <f t="shared" ref="B23:H23" si="0">SUM(B4:B22)</f>
        <v>43150</v>
      </c>
      <c r="C23" s="133">
        <f t="shared" si="0"/>
        <v>63750</v>
      </c>
      <c r="D23" s="133">
        <f t="shared" si="0"/>
        <v>87050</v>
      </c>
      <c r="E23" s="133">
        <f t="shared" si="0"/>
        <v>96580</v>
      </c>
      <c r="F23" s="725">
        <f t="shared" si="0"/>
        <v>92100</v>
      </c>
      <c r="G23" s="726">
        <f t="shared" ref="G23" si="1">SUM(G4:G22)</f>
        <v>98200</v>
      </c>
      <c r="H23" s="726">
        <f t="shared" si="0"/>
        <v>97100</v>
      </c>
      <c r="I23" s="726">
        <f t="shared" ref="I23" si="2">SUM(I4:I22)</f>
        <v>98800</v>
      </c>
    </row>
  </sheetData>
  <sortState ref="A7:E16">
    <sortCondition ref="A7:A16"/>
  </sortState>
  <phoneticPr fontId="20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39"/>
  <sheetViews>
    <sheetView workbookViewId="0">
      <pane ySplit="2" topLeftCell="A3" activePane="bottomLeft" state="frozen"/>
      <selection pane="bottomLeft"/>
    </sheetView>
  </sheetViews>
  <sheetFormatPr defaultRowHeight="16.5" x14ac:dyDescent="0.3"/>
  <cols>
    <col min="1" max="1" width="41" style="111" bestFit="1" customWidth="1"/>
    <col min="2" max="4" width="11.7109375" style="111" hidden="1" customWidth="1"/>
    <col min="5" max="6" width="12.5703125" style="111" hidden="1" customWidth="1"/>
    <col min="7" max="8" width="12.5703125" style="111" customWidth="1"/>
    <col min="9" max="16384" width="9.140625" style="111"/>
  </cols>
  <sheetData>
    <row r="1" spans="1:9" ht="18" customHeight="1" x14ac:dyDescent="0.3">
      <c r="A1" s="571" t="s">
        <v>211</v>
      </c>
      <c r="B1" s="212"/>
      <c r="C1" s="212"/>
      <c r="D1" s="212"/>
      <c r="E1" s="212"/>
      <c r="F1" s="212"/>
      <c r="G1" s="212"/>
      <c r="H1" s="212"/>
      <c r="I1" s="212"/>
    </row>
    <row r="2" spans="1:9" ht="18" customHeight="1" x14ac:dyDescent="0.3">
      <c r="A2" s="126" t="s">
        <v>124</v>
      </c>
      <c r="B2" s="99">
        <v>2010</v>
      </c>
      <c r="C2" s="99">
        <v>2013</v>
      </c>
      <c r="D2" s="99">
        <v>2014</v>
      </c>
      <c r="E2" s="99">
        <v>2015</v>
      </c>
      <c r="F2" s="99">
        <v>2016</v>
      </c>
      <c r="G2" s="99">
        <v>2017</v>
      </c>
      <c r="H2" s="99">
        <v>2018</v>
      </c>
      <c r="I2" s="99">
        <v>2019</v>
      </c>
    </row>
    <row r="3" spans="1:9" ht="18" customHeight="1" x14ac:dyDescent="0.3">
      <c r="A3" s="126"/>
      <c r="B3" s="100"/>
      <c r="C3" s="100"/>
      <c r="D3" s="100"/>
      <c r="E3" s="100"/>
      <c r="F3" s="729"/>
      <c r="G3" s="729"/>
      <c r="H3" s="729"/>
      <c r="I3" s="729"/>
    </row>
    <row r="4" spans="1:9" ht="18" customHeight="1" x14ac:dyDescent="0.3">
      <c r="A4" s="52" t="s">
        <v>151</v>
      </c>
      <c r="B4" s="53">
        <v>400</v>
      </c>
      <c r="C4" s="53">
        <v>350</v>
      </c>
      <c r="D4" s="53">
        <v>400</v>
      </c>
      <c r="E4" s="53">
        <v>400</v>
      </c>
      <c r="F4" s="728">
        <v>400</v>
      </c>
      <c r="G4" s="728">
        <v>400</v>
      </c>
      <c r="H4" s="728">
        <v>400</v>
      </c>
      <c r="I4" s="728">
        <v>600</v>
      </c>
    </row>
    <row r="5" spans="1:9" ht="18" customHeight="1" x14ac:dyDescent="0.3">
      <c r="A5" s="52" t="s">
        <v>196</v>
      </c>
      <c r="B5" s="53">
        <v>500</v>
      </c>
      <c r="C5" s="53">
        <v>250</v>
      </c>
      <c r="D5" s="53">
        <v>250</v>
      </c>
      <c r="E5" s="53">
        <v>250</v>
      </c>
      <c r="F5" s="728">
        <v>2000</v>
      </c>
      <c r="G5" s="728">
        <v>2000</v>
      </c>
      <c r="H5" s="728">
        <v>2000</v>
      </c>
      <c r="I5" s="728">
        <v>2000</v>
      </c>
    </row>
    <row r="6" spans="1:9" ht="18" customHeight="1" x14ac:dyDescent="0.3">
      <c r="A6" s="52" t="s">
        <v>766</v>
      </c>
      <c r="B6" s="53">
        <v>2500</v>
      </c>
      <c r="C6" s="53">
        <v>1400</v>
      </c>
      <c r="D6" s="53">
        <v>1400</v>
      </c>
      <c r="E6" s="53">
        <v>1500</v>
      </c>
      <c r="F6" s="728">
        <v>1500</v>
      </c>
      <c r="G6" s="728">
        <v>1700</v>
      </c>
      <c r="H6" s="728">
        <v>1700</v>
      </c>
      <c r="I6" s="728">
        <v>1800</v>
      </c>
    </row>
    <row r="7" spans="1:9" ht="18" hidden="1" customHeight="1" x14ac:dyDescent="0.3">
      <c r="A7" s="52" t="s">
        <v>1</v>
      </c>
      <c r="B7" s="121">
        <v>750</v>
      </c>
      <c r="C7" s="53">
        <v>850</v>
      </c>
      <c r="D7" s="53">
        <v>850</v>
      </c>
      <c r="E7" s="53">
        <v>850</v>
      </c>
      <c r="F7" s="728">
        <v>0</v>
      </c>
      <c r="G7" s="728">
        <v>0</v>
      </c>
      <c r="H7" s="728">
        <v>0</v>
      </c>
      <c r="I7" s="728">
        <v>0</v>
      </c>
    </row>
    <row r="8" spans="1:9" ht="18" customHeight="1" x14ac:dyDescent="0.3">
      <c r="A8" s="39" t="s">
        <v>675</v>
      </c>
      <c r="B8" s="121">
        <v>600</v>
      </c>
      <c r="C8" s="61">
        <v>300</v>
      </c>
      <c r="D8" s="61">
        <v>300</v>
      </c>
      <c r="E8" s="61">
        <v>300</v>
      </c>
      <c r="F8" s="729">
        <v>400</v>
      </c>
      <c r="G8" s="729">
        <v>500</v>
      </c>
      <c r="H8" s="729">
        <v>1500</v>
      </c>
      <c r="I8" s="729">
        <v>1500</v>
      </c>
    </row>
    <row r="9" spans="1:9" ht="18" customHeight="1" x14ac:dyDescent="0.3">
      <c r="A9" s="52" t="s">
        <v>222</v>
      </c>
      <c r="B9" s="105">
        <v>6000</v>
      </c>
      <c r="C9" s="53">
        <v>7500</v>
      </c>
      <c r="D9" s="53">
        <v>7500</v>
      </c>
      <c r="E9" s="53">
        <v>7500</v>
      </c>
      <c r="F9" s="728">
        <v>11000</v>
      </c>
      <c r="G9" s="728">
        <v>12000</v>
      </c>
      <c r="H9" s="728">
        <v>12000</v>
      </c>
      <c r="I9" s="728">
        <v>14000</v>
      </c>
    </row>
    <row r="10" spans="1:9" ht="18" customHeight="1" x14ac:dyDescent="0.3">
      <c r="A10" s="446" t="s">
        <v>2</v>
      </c>
      <c r="B10" s="121">
        <v>1500</v>
      </c>
      <c r="C10" s="121">
        <v>200</v>
      </c>
      <c r="D10" s="121">
        <v>750</v>
      </c>
      <c r="E10" s="121">
        <v>750</v>
      </c>
      <c r="F10" s="733">
        <v>250</v>
      </c>
      <c r="G10" s="733">
        <v>500</v>
      </c>
      <c r="H10" s="733">
        <v>500</v>
      </c>
      <c r="I10" s="733">
        <v>500</v>
      </c>
    </row>
    <row r="11" spans="1:9" ht="18" hidden="1" customHeight="1" x14ac:dyDescent="0.3">
      <c r="A11" s="39" t="s">
        <v>517</v>
      </c>
      <c r="B11" s="62">
        <v>1000</v>
      </c>
      <c r="C11" s="62"/>
      <c r="D11" s="62"/>
      <c r="E11" s="62">
        <f>10740</f>
        <v>10740</v>
      </c>
      <c r="F11" s="665">
        <v>0</v>
      </c>
      <c r="G11" s="665">
        <v>0</v>
      </c>
      <c r="H11" s="665">
        <v>0</v>
      </c>
      <c r="I11" s="665">
        <v>0</v>
      </c>
    </row>
    <row r="12" spans="1:9" ht="18" hidden="1" customHeight="1" x14ac:dyDescent="0.3">
      <c r="A12" s="196" t="s">
        <v>516</v>
      </c>
      <c r="B12" s="53">
        <v>100</v>
      </c>
      <c r="C12" s="105">
        <v>100</v>
      </c>
      <c r="D12" s="105">
        <v>100</v>
      </c>
      <c r="E12" s="105">
        <v>100</v>
      </c>
      <c r="F12" s="721">
        <v>100</v>
      </c>
      <c r="G12" s="721">
        <v>0</v>
      </c>
      <c r="H12" s="721">
        <v>0</v>
      </c>
      <c r="I12" s="721">
        <v>0</v>
      </c>
    </row>
    <row r="13" spans="1:9" ht="18" customHeight="1" x14ac:dyDescent="0.3">
      <c r="A13" s="196" t="s">
        <v>192</v>
      </c>
      <c r="B13" s="53">
        <v>250</v>
      </c>
      <c r="C13" s="53"/>
      <c r="D13" s="53">
        <v>300</v>
      </c>
      <c r="E13" s="53">
        <v>300</v>
      </c>
      <c r="F13" s="728">
        <v>300</v>
      </c>
      <c r="G13" s="728">
        <v>300</v>
      </c>
      <c r="H13" s="728">
        <v>300</v>
      </c>
      <c r="I13" s="728">
        <v>0</v>
      </c>
    </row>
    <row r="14" spans="1:9" ht="18" customHeight="1" x14ac:dyDescent="0.3">
      <c r="A14" s="52" t="s">
        <v>279</v>
      </c>
      <c r="B14" s="121">
        <v>11000</v>
      </c>
      <c r="C14" s="62">
        <v>7500</v>
      </c>
      <c r="D14" s="62">
        <v>8000</v>
      </c>
      <c r="E14" s="62">
        <v>8000</v>
      </c>
      <c r="F14" s="665">
        <v>8000</v>
      </c>
      <c r="G14" s="665">
        <v>8000</v>
      </c>
      <c r="H14" s="665">
        <v>8000</v>
      </c>
      <c r="I14" s="665">
        <v>9000</v>
      </c>
    </row>
    <row r="15" spans="1:9" ht="18" customHeight="1" x14ac:dyDescent="0.3">
      <c r="A15" s="196" t="s">
        <v>220</v>
      </c>
      <c r="B15" s="53">
        <v>1500</v>
      </c>
      <c r="C15" s="53">
        <v>1000</v>
      </c>
      <c r="D15" s="53">
        <v>2000</v>
      </c>
      <c r="E15" s="53">
        <v>2000</v>
      </c>
      <c r="F15" s="728">
        <v>6000</v>
      </c>
      <c r="G15" s="728">
        <v>6000</v>
      </c>
      <c r="H15" s="728">
        <v>6000</v>
      </c>
      <c r="I15" s="728">
        <v>6000</v>
      </c>
    </row>
    <row r="16" spans="1:9" ht="18" customHeight="1" x14ac:dyDescent="0.3">
      <c r="A16" s="52" t="s">
        <v>280</v>
      </c>
      <c r="B16" s="53">
        <v>2000</v>
      </c>
      <c r="C16" s="121">
        <v>1500</v>
      </c>
      <c r="D16" s="121">
        <v>1500</v>
      </c>
      <c r="E16" s="121">
        <v>1500</v>
      </c>
      <c r="F16" s="733">
        <v>3800</v>
      </c>
      <c r="G16" s="733">
        <v>3500</v>
      </c>
      <c r="H16" s="733">
        <v>5500</v>
      </c>
      <c r="I16" s="733">
        <v>4000</v>
      </c>
    </row>
    <row r="17" spans="1:9" ht="18" customHeight="1" x14ac:dyDescent="0.3">
      <c r="A17" s="52" t="s">
        <v>221</v>
      </c>
      <c r="B17" s="53">
        <v>300</v>
      </c>
      <c r="C17" s="62">
        <v>300</v>
      </c>
      <c r="D17" s="62">
        <v>300</v>
      </c>
      <c r="E17" s="62">
        <v>300</v>
      </c>
      <c r="F17" s="665">
        <v>300</v>
      </c>
      <c r="G17" s="665">
        <v>300</v>
      </c>
      <c r="H17" s="665">
        <v>300</v>
      </c>
      <c r="I17" s="665">
        <v>350</v>
      </c>
    </row>
    <row r="18" spans="1:9" ht="18" customHeight="1" x14ac:dyDescent="0.3">
      <c r="A18" s="54" t="s">
        <v>281</v>
      </c>
      <c r="B18" s="447">
        <v>750</v>
      </c>
      <c r="C18" s="448">
        <v>600</v>
      </c>
      <c r="D18" s="448">
        <v>600</v>
      </c>
      <c r="E18" s="448">
        <v>600</v>
      </c>
      <c r="F18" s="736">
        <v>1200</v>
      </c>
      <c r="G18" s="736">
        <v>1500</v>
      </c>
      <c r="H18" s="736">
        <v>1500</v>
      </c>
      <c r="I18" s="736">
        <v>1500</v>
      </c>
    </row>
    <row r="19" spans="1:9" ht="18" customHeight="1" x14ac:dyDescent="0.3">
      <c r="A19" s="54" t="s">
        <v>193</v>
      </c>
      <c r="B19" s="498">
        <v>1000</v>
      </c>
      <c r="C19" s="447">
        <v>1000</v>
      </c>
      <c r="D19" s="447">
        <v>1500</v>
      </c>
      <c r="E19" s="447">
        <v>3000</v>
      </c>
      <c r="F19" s="737">
        <v>2000</v>
      </c>
      <c r="G19" s="737">
        <v>3000</v>
      </c>
      <c r="H19" s="737">
        <v>3000</v>
      </c>
      <c r="I19" s="737">
        <v>3200</v>
      </c>
    </row>
    <row r="20" spans="1:9" ht="18" customHeight="1" x14ac:dyDescent="0.3">
      <c r="A20" s="110" t="s">
        <v>194</v>
      </c>
      <c r="B20" s="447">
        <v>250</v>
      </c>
      <c r="C20" s="498"/>
      <c r="D20" s="498">
        <v>750</v>
      </c>
      <c r="E20" s="498">
        <v>750</v>
      </c>
      <c r="F20" s="738">
        <v>500</v>
      </c>
      <c r="G20" s="738">
        <v>750</v>
      </c>
      <c r="H20" s="738">
        <v>2500</v>
      </c>
      <c r="I20" s="738">
        <v>3500</v>
      </c>
    </row>
    <row r="21" spans="1:9" ht="18" customHeight="1" x14ac:dyDescent="0.3">
      <c r="A21" s="54" t="s">
        <v>195</v>
      </c>
      <c r="B21" s="569"/>
      <c r="C21" s="447">
        <v>400</v>
      </c>
      <c r="D21" s="447">
        <v>400</v>
      </c>
      <c r="E21" s="447">
        <v>400</v>
      </c>
      <c r="F21" s="737">
        <v>200</v>
      </c>
      <c r="G21" s="737">
        <v>250</v>
      </c>
      <c r="H21" s="737">
        <v>250</v>
      </c>
      <c r="I21" s="737">
        <v>750</v>
      </c>
    </row>
    <row r="22" spans="1:9" ht="18" hidden="1" customHeight="1" x14ac:dyDescent="0.3">
      <c r="A22" s="462" t="s">
        <v>456</v>
      </c>
      <c r="B22" s="448"/>
      <c r="C22" s="448">
        <v>25000</v>
      </c>
      <c r="D22" s="448"/>
      <c r="E22" s="448"/>
      <c r="F22" s="736">
        <v>27000</v>
      </c>
      <c r="G22" s="739">
        <v>0</v>
      </c>
      <c r="H22" s="739">
        <v>0</v>
      </c>
      <c r="I22" s="739">
        <v>0</v>
      </c>
    </row>
    <row r="23" spans="1:9" ht="18" customHeight="1" x14ac:dyDescent="0.3">
      <c r="A23" s="842" t="s">
        <v>578</v>
      </c>
      <c r="C23" s="570"/>
      <c r="D23" s="570"/>
      <c r="E23" s="448">
        <v>9086</v>
      </c>
      <c r="F23" s="736">
        <v>4000</v>
      </c>
      <c r="G23" s="739">
        <v>0</v>
      </c>
      <c r="H23" s="739">
        <v>2000</v>
      </c>
      <c r="I23" s="739">
        <v>2750</v>
      </c>
    </row>
    <row r="24" spans="1:9" ht="18" customHeight="1" x14ac:dyDescent="0.3">
      <c r="A24" s="507" t="s">
        <v>676</v>
      </c>
      <c r="B24" s="449"/>
      <c r="C24" s="448"/>
      <c r="D24" s="448"/>
      <c r="E24" s="448">
        <v>5000</v>
      </c>
      <c r="F24" s="736">
        <v>0</v>
      </c>
      <c r="G24" s="739">
        <v>1500</v>
      </c>
      <c r="H24" s="739">
        <v>1500</v>
      </c>
      <c r="I24" s="739">
        <v>0</v>
      </c>
    </row>
    <row r="25" spans="1:9" ht="18" hidden="1" customHeight="1" x14ac:dyDescent="0.3">
      <c r="A25" s="590" t="s">
        <v>579</v>
      </c>
      <c r="B25" s="589"/>
      <c r="C25" s="448"/>
      <c r="D25" s="448"/>
      <c r="E25" s="448"/>
      <c r="F25" s="736">
        <f>2*11500</f>
        <v>23000</v>
      </c>
      <c r="G25" s="739">
        <v>0</v>
      </c>
      <c r="H25" s="739">
        <v>0</v>
      </c>
      <c r="I25" s="739">
        <v>0</v>
      </c>
    </row>
    <row r="26" spans="1:9" ht="18" hidden="1" customHeight="1" x14ac:dyDescent="0.3">
      <c r="A26" s="991" t="s">
        <v>580</v>
      </c>
      <c r="B26" s="589"/>
      <c r="C26" s="448"/>
      <c r="D26" s="448"/>
      <c r="E26" s="448"/>
      <c r="F26" s="736">
        <f>3*3500</f>
        <v>10500</v>
      </c>
      <c r="G26" s="739">
        <v>0</v>
      </c>
      <c r="H26" s="739">
        <v>0</v>
      </c>
      <c r="I26" s="739">
        <v>0</v>
      </c>
    </row>
    <row r="27" spans="1:9" ht="18" customHeight="1" x14ac:dyDescent="0.3">
      <c r="A27" s="842" t="s">
        <v>642</v>
      </c>
      <c r="C27" s="54"/>
      <c r="D27" s="54"/>
      <c r="E27" s="54"/>
      <c r="F27" s="665">
        <v>0</v>
      </c>
      <c r="G27" s="666">
        <v>42000</v>
      </c>
      <c r="H27" s="666">
        <v>4000</v>
      </c>
      <c r="I27" s="666">
        <v>0</v>
      </c>
    </row>
    <row r="28" spans="1:9" ht="18" customHeight="1" x14ac:dyDescent="0.3">
      <c r="A28" s="992"/>
      <c r="B28" s="449">
        <v>-20000</v>
      </c>
      <c r="C28" s="449"/>
      <c r="D28" s="449"/>
      <c r="E28" s="448"/>
      <c r="F28" s="736"/>
      <c r="G28" s="739"/>
      <c r="H28" s="739"/>
      <c r="I28" s="739"/>
    </row>
    <row r="29" spans="1:9" ht="18" customHeight="1" x14ac:dyDescent="0.3">
      <c r="A29" s="450" t="s">
        <v>173</v>
      </c>
      <c r="B29" s="377">
        <f t="shared" ref="B29:H29" si="0">SUM(B3:B28)</f>
        <v>10400</v>
      </c>
      <c r="C29" s="377">
        <f t="shared" si="0"/>
        <v>48250</v>
      </c>
      <c r="D29" s="377">
        <f t="shared" si="0"/>
        <v>26900</v>
      </c>
      <c r="E29" s="377">
        <f t="shared" si="0"/>
        <v>53326</v>
      </c>
      <c r="F29" s="740">
        <f t="shared" si="0"/>
        <v>102450</v>
      </c>
      <c r="G29" s="741">
        <f t="shared" ref="G29" si="1">SUM(G3:G28)</f>
        <v>84200</v>
      </c>
      <c r="H29" s="741">
        <f t="shared" si="0"/>
        <v>52950</v>
      </c>
      <c r="I29" s="741">
        <f t="shared" ref="I29" si="2">SUM(I3:I28)</f>
        <v>51450</v>
      </c>
    </row>
    <row r="30" spans="1:9" ht="18" customHeight="1" x14ac:dyDescent="0.3">
      <c r="A30" s="27"/>
    </row>
    <row r="31" spans="1:9" ht="18" customHeight="1" x14ac:dyDescent="0.3"/>
    <row r="34" spans="1:1" x14ac:dyDescent="0.3">
      <c r="A34" s="214"/>
    </row>
    <row r="35" spans="1:1" x14ac:dyDescent="0.3">
      <c r="A35" s="214"/>
    </row>
    <row r="36" spans="1:1" x14ac:dyDescent="0.3">
      <c r="A36" s="214"/>
    </row>
    <row r="37" spans="1:1" x14ac:dyDescent="0.3">
      <c r="A37" s="214"/>
    </row>
    <row r="38" spans="1:1" x14ac:dyDescent="0.3">
      <c r="A38" s="215"/>
    </row>
    <row r="39" spans="1:1" x14ac:dyDescent="0.3">
      <c r="A39" s="214"/>
    </row>
  </sheetData>
  <sortState ref="A4:E23">
    <sortCondition ref="A4:A23"/>
  </sortState>
  <phoneticPr fontId="20" type="noConversion"/>
  <printOptions horizontalCentered="1"/>
  <pageMargins left="0.5" right="0.5" top="0.75" bottom="0.75" header="0.5" footer="0.5"/>
  <pageSetup orientation="portrait" r:id="rId1"/>
  <headerFooter alignWithMargins="0">
    <oddFooter>&amp;L&amp;F, &amp;A&amp;R&amp;D,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3"/>
  <sheetViews>
    <sheetView workbookViewId="0"/>
  </sheetViews>
  <sheetFormatPr defaultRowHeight="16.5" x14ac:dyDescent="0.3"/>
  <cols>
    <col min="1" max="1" width="34.5703125" style="111" customWidth="1"/>
    <col min="2" max="2" width="10.7109375" style="111" hidden="1" customWidth="1"/>
    <col min="3" max="3" width="11.5703125" style="111" hidden="1" customWidth="1"/>
    <col min="4" max="4" width="10.7109375" style="111" hidden="1" customWidth="1"/>
    <col min="5" max="6" width="11.5703125" style="111" hidden="1" customWidth="1"/>
    <col min="7" max="8" width="11.5703125" style="111" customWidth="1"/>
    <col min="9" max="16384" width="9.140625" style="111"/>
  </cols>
  <sheetData>
    <row r="1" spans="1:9" ht="24" customHeight="1" x14ac:dyDescent="0.3">
      <c r="A1" s="571" t="s">
        <v>521</v>
      </c>
      <c r="B1" s="190"/>
      <c r="C1" s="190"/>
      <c r="D1" s="190"/>
      <c r="E1" s="216"/>
      <c r="F1" s="216"/>
      <c r="G1" s="216"/>
      <c r="H1" s="216"/>
      <c r="I1" s="216"/>
    </row>
    <row r="2" spans="1:9" ht="20.100000000000001" customHeight="1" x14ac:dyDescent="0.3">
      <c r="A2" s="195"/>
      <c r="B2" s="98"/>
      <c r="C2" s="98"/>
      <c r="D2" s="98"/>
      <c r="E2" s="54"/>
      <c r="F2" s="54"/>
      <c r="G2" s="54"/>
      <c r="H2" s="54"/>
      <c r="I2" s="54"/>
    </row>
    <row r="3" spans="1:9" ht="20.100000000000001" customHeight="1" x14ac:dyDescent="0.3">
      <c r="A3" s="195"/>
      <c r="B3" s="41">
        <v>2010</v>
      </c>
      <c r="C3" s="109">
        <v>2013</v>
      </c>
      <c r="D3" s="109">
        <v>2014</v>
      </c>
      <c r="E3" s="109">
        <v>2015</v>
      </c>
      <c r="F3" s="109">
        <v>2016</v>
      </c>
      <c r="G3" s="109">
        <v>2017</v>
      </c>
      <c r="H3" s="109">
        <v>2018</v>
      </c>
      <c r="I3" s="109">
        <v>2019</v>
      </c>
    </row>
    <row r="4" spans="1:9" ht="20.100000000000001" customHeight="1" x14ac:dyDescent="0.3">
      <c r="A4" s="195"/>
      <c r="B4" s="101"/>
      <c r="C4" s="217"/>
      <c r="D4" s="217"/>
      <c r="E4" s="217"/>
      <c r="F4" s="742"/>
      <c r="G4" s="742"/>
      <c r="H4" s="742"/>
      <c r="I4" s="742"/>
    </row>
    <row r="5" spans="1:9" ht="20.100000000000001" customHeight="1" x14ac:dyDescent="0.3">
      <c r="A5" s="52" t="s">
        <v>189</v>
      </c>
      <c r="B5" s="871">
        <v>16766</v>
      </c>
      <c r="C5" s="53">
        <v>19465</v>
      </c>
      <c r="D5" s="53">
        <v>19269</v>
      </c>
      <c r="E5" s="53">
        <v>18617.73</v>
      </c>
      <c r="F5" s="728">
        <v>19077</v>
      </c>
      <c r="G5" s="728">
        <v>15782</v>
      </c>
      <c r="H5" s="728">
        <v>22314</v>
      </c>
      <c r="I5" s="728">
        <f>'Uniform WS'!E48</f>
        <v>22102.35</v>
      </c>
    </row>
    <row r="6" spans="1:9" ht="20.100000000000001" customHeight="1" x14ac:dyDescent="0.3">
      <c r="A6" s="39" t="s">
        <v>190</v>
      </c>
      <c r="B6" s="871">
        <v>37450</v>
      </c>
      <c r="C6" s="42">
        <f>'Gear WS'!C24</f>
        <v>31900</v>
      </c>
      <c r="D6" s="42">
        <f>'Gear WS'!D24</f>
        <v>34917.75</v>
      </c>
      <c r="E6" s="42">
        <v>38575.300000000003</v>
      </c>
      <c r="F6" s="676">
        <v>48390</v>
      </c>
      <c r="G6" s="676">
        <f>'Gear WS'!G24</f>
        <v>109740</v>
      </c>
      <c r="H6" s="676">
        <f>'Gear WS'!H24</f>
        <v>59680</v>
      </c>
      <c r="I6" s="676">
        <f>'Gear WS'!I24</f>
        <v>44810</v>
      </c>
    </row>
    <row r="7" spans="1:9" ht="20.100000000000001" customHeight="1" x14ac:dyDescent="0.3">
      <c r="A7" s="244"/>
      <c r="B7" s="872"/>
      <c r="C7" s="872"/>
      <c r="D7" s="872"/>
      <c r="E7" s="872"/>
      <c r="F7" s="873"/>
      <c r="G7" s="873"/>
      <c r="H7" s="873"/>
      <c r="I7" s="873"/>
    </row>
    <row r="8" spans="1:9" ht="20.100000000000001" customHeight="1" x14ac:dyDescent="0.3">
      <c r="A8" s="287"/>
      <c r="B8" s="42"/>
      <c r="C8" s="42"/>
      <c r="D8" s="42"/>
      <c r="E8" s="42"/>
      <c r="F8" s="676"/>
      <c r="G8" s="676"/>
      <c r="H8" s="676"/>
      <c r="I8" s="676"/>
    </row>
    <row r="9" spans="1:9" ht="20.100000000000001" customHeight="1" x14ac:dyDescent="0.3">
      <c r="A9" s="287"/>
      <c r="B9" s="42"/>
      <c r="C9" s="42"/>
      <c r="D9" s="42"/>
      <c r="E9" s="42"/>
      <c r="F9" s="676"/>
      <c r="G9" s="676"/>
      <c r="H9" s="676"/>
      <c r="I9" s="676"/>
    </row>
    <row r="10" spans="1:9" ht="20.100000000000001" customHeight="1" x14ac:dyDescent="0.3">
      <c r="A10" s="39"/>
      <c r="B10" s="42"/>
      <c r="C10" s="42"/>
      <c r="D10" s="42"/>
      <c r="E10" s="42"/>
      <c r="F10" s="676"/>
      <c r="G10" s="676"/>
      <c r="H10" s="676"/>
      <c r="I10" s="676"/>
    </row>
    <row r="11" spans="1:9" ht="20.100000000000001" customHeight="1" thickBot="1" x14ac:dyDescent="0.35">
      <c r="A11" s="514"/>
      <c r="B11" s="463">
        <v>-24500</v>
      </c>
      <c r="C11" s="283"/>
      <c r="D11" s="283"/>
      <c r="E11" s="283"/>
      <c r="F11" s="768"/>
      <c r="G11" s="768"/>
      <c r="H11" s="768"/>
      <c r="I11" s="768"/>
    </row>
    <row r="12" spans="1:9" ht="24" customHeight="1" thickTop="1" x14ac:dyDescent="0.3">
      <c r="A12" s="213" t="s">
        <v>174</v>
      </c>
      <c r="B12" s="44">
        <f t="shared" ref="B12:H12" si="0">SUM(B4:B11)</f>
        <v>29716</v>
      </c>
      <c r="C12" s="44">
        <f t="shared" si="0"/>
        <v>51365</v>
      </c>
      <c r="D12" s="44">
        <f t="shared" si="0"/>
        <v>54186.75</v>
      </c>
      <c r="E12" s="112">
        <f t="shared" si="0"/>
        <v>57193.03</v>
      </c>
      <c r="F12" s="756">
        <f t="shared" si="0"/>
        <v>67467</v>
      </c>
      <c r="G12" s="756">
        <f t="shared" ref="G12" si="1">SUM(G4:G11)</f>
        <v>125522</v>
      </c>
      <c r="H12" s="756">
        <f t="shared" si="0"/>
        <v>81994</v>
      </c>
      <c r="I12" s="756">
        <f t="shared" ref="I12" si="2">SUM(I4:I11)</f>
        <v>66912.350000000006</v>
      </c>
    </row>
    <row r="13" spans="1:9" x14ac:dyDescent="0.3">
      <c r="B13" s="27"/>
      <c r="C13" s="27"/>
    </row>
    <row r="14" spans="1:9" x14ac:dyDescent="0.3">
      <c r="B14" s="27"/>
      <c r="C14" s="27"/>
    </row>
    <row r="15" spans="1:9" x14ac:dyDescent="0.3">
      <c r="B15" s="27"/>
      <c r="C15" s="27"/>
    </row>
    <row r="16" spans="1:9" x14ac:dyDescent="0.3">
      <c r="B16" s="27"/>
      <c r="C16" s="27"/>
    </row>
    <row r="17" spans="2:3" x14ac:dyDescent="0.3">
      <c r="B17" s="27"/>
      <c r="C17" s="27"/>
    </row>
    <row r="18" spans="2:3" x14ac:dyDescent="0.3">
      <c r="B18" s="27"/>
      <c r="C18" s="27"/>
    </row>
    <row r="19" spans="2:3" x14ac:dyDescent="0.3">
      <c r="B19" s="27"/>
      <c r="C19" s="27"/>
    </row>
    <row r="20" spans="2:3" x14ac:dyDescent="0.3">
      <c r="B20" s="27"/>
      <c r="C20" s="27"/>
    </row>
    <row r="21" spans="2:3" x14ac:dyDescent="0.3">
      <c r="B21" s="27"/>
      <c r="C21" s="27"/>
    </row>
    <row r="22" spans="2:3" x14ac:dyDescent="0.3">
      <c r="B22" s="27"/>
      <c r="C22" s="27"/>
    </row>
    <row r="23" spans="2:3" x14ac:dyDescent="0.3">
      <c r="B23" s="27"/>
      <c r="C23" s="27"/>
    </row>
  </sheetData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180"/>
  <sheetViews>
    <sheetView workbookViewId="0">
      <selection sqref="A1:E1"/>
    </sheetView>
  </sheetViews>
  <sheetFormatPr defaultRowHeight="18.75" customHeight="1" x14ac:dyDescent="0.2"/>
  <cols>
    <col min="1" max="1" width="36.5703125" style="5" customWidth="1"/>
    <col min="2" max="2" width="12.140625" style="5" customWidth="1"/>
    <col min="3" max="3" width="12.85546875" style="8" bestFit="1" customWidth="1"/>
    <col min="4" max="4" width="14.140625" style="9" bestFit="1" customWidth="1"/>
    <col min="5" max="5" width="14.28515625" style="5" bestFit="1" customWidth="1"/>
    <col min="6" max="6" width="14.28515625" customWidth="1"/>
    <col min="7" max="7" width="14.140625" style="9" bestFit="1" customWidth="1"/>
    <col min="8" max="9" width="9.140625" style="5"/>
    <col min="10" max="10" width="13.28515625" style="5" customWidth="1"/>
    <col min="11" max="16384" width="9.140625" style="5"/>
  </cols>
  <sheetData>
    <row r="1" spans="1:7" ht="27.75" customHeight="1" x14ac:dyDescent="0.2">
      <c r="A1" s="1026" t="s">
        <v>348</v>
      </c>
      <c r="B1" s="1027"/>
      <c r="C1" s="1027"/>
      <c r="D1" s="1027"/>
      <c r="E1" s="1028"/>
      <c r="G1" s="5"/>
    </row>
    <row r="2" spans="1:7" ht="15.75" x14ac:dyDescent="0.25">
      <c r="A2" s="300" t="s">
        <v>133</v>
      </c>
      <c r="B2" s="301"/>
      <c r="C2" s="301"/>
      <c r="D2" s="301"/>
      <c r="E2" s="302"/>
      <c r="G2" s="5"/>
    </row>
    <row r="3" spans="1:7" s="10" customFormat="1" ht="15.75" x14ac:dyDescent="0.25">
      <c r="A3" s="29" t="s">
        <v>134</v>
      </c>
      <c r="B3" s="303" t="s">
        <v>135</v>
      </c>
      <c r="C3" s="303" t="s">
        <v>136</v>
      </c>
      <c r="D3" s="303" t="s">
        <v>137</v>
      </c>
      <c r="E3" s="304" t="s">
        <v>138</v>
      </c>
      <c r="F3"/>
    </row>
    <row r="4" spans="1:7" ht="14.1" customHeight="1" x14ac:dyDescent="0.25">
      <c r="A4" s="264" t="s">
        <v>139</v>
      </c>
      <c r="B4" s="262">
        <v>27</v>
      </c>
      <c r="C4" s="262">
        <v>1</v>
      </c>
      <c r="D4" s="305">
        <f>((87.5+97.5)/2)+6</f>
        <v>98.5</v>
      </c>
      <c r="E4" s="317">
        <f>B4*C4*D4</f>
        <v>2659.5</v>
      </c>
      <c r="G4" s="5"/>
    </row>
    <row r="5" spans="1:7" ht="14.1" customHeight="1" x14ac:dyDescent="0.25">
      <c r="A5" s="264" t="s">
        <v>140</v>
      </c>
      <c r="B5" s="262">
        <v>27</v>
      </c>
      <c r="C5" s="262">
        <v>1</v>
      </c>
      <c r="D5" s="305">
        <f>104.5</f>
        <v>104.5</v>
      </c>
      <c r="E5" s="317">
        <f>B5*C5*D5</f>
        <v>2821.5</v>
      </c>
      <c r="G5" s="5"/>
    </row>
    <row r="6" spans="1:7" ht="14.1" customHeight="1" x14ac:dyDescent="0.25">
      <c r="A6" s="264" t="s">
        <v>634</v>
      </c>
      <c r="B6" s="262">
        <v>27</v>
      </c>
      <c r="C6" s="262">
        <v>4</v>
      </c>
      <c r="D6" s="305">
        <v>12</v>
      </c>
      <c r="E6" s="317">
        <f>B6*C6*D6</f>
        <v>1296</v>
      </c>
      <c r="G6" s="5"/>
    </row>
    <row r="7" spans="1:7" ht="14.1" customHeight="1" x14ac:dyDescent="0.25">
      <c r="A7" s="264" t="s">
        <v>141</v>
      </c>
      <c r="B7" s="262">
        <v>27</v>
      </c>
      <c r="C7" s="262">
        <v>2</v>
      </c>
      <c r="D7" s="305">
        <f>42+8+6</f>
        <v>56</v>
      </c>
      <c r="E7" s="317">
        <f>B7*C7*D7</f>
        <v>3024</v>
      </c>
      <c r="G7" s="5"/>
    </row>
    <row r="8" spans="1:7" ht="14.1" customHeight="1" x14ac:dyDescent="0.25">
      <c r="A8" s="264" t="s">
        <v>155</v>
      </c>
      <c r="B8" s="262">
        <v>27</v>
      </c>
      <c r="C8" s="262">
        <v>1</v>
      </c>
      <c r="D8" s="305">
        <f>64.5</f>
        <v>64.5</v>
      </c>
      <c r="E8" s="317">
        <f>B8*C8*D8</f>
        <v>1741.5</v>
      </c>
      <c r="G8" s="5"/>
    </row>
    <row r="9" spans="1:7" ht="14.1" customHeight="1" x14ac:dyDescent="0.25">
      <c r="A9" s="306"/>
      <c r="B9" s="262"/>
      <c r="C9" s="262"/>
      <c r="D9" s="263"/>
      <c r="E9" s="318">
        <f>SUM(E4:E8)</f>
        <v>11542.5</v>
      </c>
      <c r="G9" s="5"/>
    </row>
    <row r="10" spans="1:7" ht="14.1" customHeight="1" x14ac:dyDescent="0.25">
      <c r="A10" s="306" t="s">
        <v>142</v>
      </c>
      <c r="B10" s="262"/>
      <c r="C10" s="262"/>
      <c r="D10" s="262"/>
      <c r="E10" s="319"/>
      <c r="G10" s="5"/>
    </row>
    <row r="11" spans="1:7" s="7" customFormat="1" ht="14.1" customHeight="1" x14ac:dyDescent="0.25">
      <c r="A11" s="29" t="s">
        <v>134</v>
      </c>
      <c r="B11" s="303" t="s">
        <v>135</v>
      </c>
      <c r="C11" s="303" t="s">
        <v>136</v>
      </c>
      <c r="D11" s="303" t="s">
        <v>137</v>
      </c>
      <c r="E11" s="304" t="s">
        <v>138</v>
      </c>
      <c r="F11"/>
    </row>
    <row r="12" spans="1:7" ht="14.1" customHeight="1" x14ac:dyDescent="0.25">
      <c r="A12" s="264" t="s">
        <v>139</v>
      </c>
      <c r="B12" s="262">
        <v>3</v>
      </c>
      <c r="C12" s="262">
        <v>1</v>
      </c>
      <c r="D12" s="305">
        <f>87.5+6</f>
        <v>93.5</v>
      </c>
      <c r="E12" s="317">
        <f>B12*C12*D12</f>
        <v>280.5</v>
      </c>
      <c r="G12" s="5"/>
    </row>
    <row r="13" spans="1:7" ht="14.1" customHeight="1" x14ac:dyDescent="0.25">
      <c r="A13" s="264" t="s">
        <v>634</v>
      </c>
      <c r="B13" s="262">
        <v>3</v>
      </c>
      <c r="C13" s="262">
        <v>1</v>
      </c>
      <c r="D13" s="305">
        <f>D6</f>
        <v>12</v>
      </c>
      <c r="E13" s="317">
        <f>B13*C13*D13</f>
        <v>36</v>
      </c>
      <c r="G13" s="5"/>
    </row>
    <row r="14" spans="1:7" ht="14.1" customHeight="1" x14ac:dyDescent="0.25">
      <c r="A14" s="264" t="s">
        <v>141</v>
      </c>
      <c r="B14" s="262">
        <v>3</v>
      </c>
      <c r="C14" s="262">
        <v>1</v>
      </c>
      <c r="D14" s="305">
        <f>D7</f>
        <v>56</v>
      </c>
      <c r="E14" s="317">
        <f>B14*C14*D14</f>
        <v>168</v>
      </c>
      <c r="G14" s="5"/>
    </row>
    <row r="15" spans="1:7" ht="14.1" customHeight="1" x14ac:dyDescent="0.25">
      <c r="A15" s="264" t="s">
        <v>155</v>
      </c>
      <c r="B15" s="262">
        <v>3</v>
      </c>
      <c r="C15" s="262">
        <v>1</v>
      </c>
      <c r="D15" s="305">
        <f>D8</f>
        <v>64.5</v>
      </c>
      <c r="E15" s="317">
        <f>B15*C15*D15</f>
        <v>193.5</v>
      </c>
      <c r="G15" s="5"/>
    </row>
    <row r="16" spans="1:7" ht="14.1" customHeight="1" x14ac:dyDescent="0.25">
      <c r="A16" s="264"/>
      <c r="B16" s="262"/>
      <c r="C16" s="262"/>
      <c r="D16" s="263"/>
      <c r="E16" s="320">
        <f>SUM(E12:E15)</f>
        <v>678</v>
      </c>
      <c r="G16" s="5"/>
    </row>
    <row r="17" spans="1:7" ht="14.1" customHeight="1" x14ac:dyDescent="0.25">
      <c r="A17" s="306" t="s">
        <v>677</v>
      </c>
      <c r="B17" s="262"/>
      <c r="C17" s="262"/>
      <c r="D17" s="262"/>
      <c r="E17" s="265"/>
      <c r="G17" s="5"/>
    </row>
    <row r="18" spans="1:7" s="7" customFormat="1" ht="14.1" customHeight="1" x14ac:dyDescent="0.25">
      <c r="A18" s="29" t="s">
        <v>134</v>
      </c>
      <c r="B18" s="303" t="s">
        <v>135</v>
      </c>
      <c r="C18" s="303" t="s">
        <v>136</v>
      </c>
      <c r="D18" s="303" t="s">
        <v>137</v>
      </c>
      <c r="E18" s="304" t="s">
        <v>138</v>
      </c>
      <c r="F18"/>
    </row>
    <row r="19" spans="1:7" ht="14.1" customHeight="1" x14ac:dyDescent="0.25">
      <c r="A19" s="264" t="s">
        <v>139</v>
      </c>
      <c r="B19" s="576">
        <v>4</v>
      </c>
      <c r="C19" s="262">
        <v>3</v>
      </c>
      <c r="D19" s="305">
        <f>D4</f>
        <v>98.5</v>
      </c>
      <c r="E19" s="317">
        <f>B19*C19*D19</f>
        <v>1182</v>
      </c>
      <c r="G19" s="5"/>
    </row>
    <row r="20" spans="1:7" ht="14.1" customHeight="1" x14ac:dyDescent="0.25">
      <c r="A20" s="264" t="s">
        <v>140</v>
      </c>
      <c r="B20" s="576">
        <v>4</v>
      </c>
      <c r="C20" s="262">
        <v>3</v>
      </c>
      <c r="D20" s="305">
        <f>D5</f>
        <v>104.5</v>
      </c>
      <c r="E20" s="317">
        <f>B20*C20*D20</f>
        <v>1254</v>
      </c>
      <c r="G20" s="5"/>
    </row>
    <row r="21" spans="1:7" ht="14.1" customHeight="1" x14ac:dyDescent="0.25">
      <c r="A21" s="264" t="s">
        <v>141</v>
      </c>
      <c r="B21" s="576">
        <v>4</v>
      </c>
      <c r="C21" s="262">
        <v>2</v>
      </c>
      <c r="D21" s="305">
        <f>D7</f>
        <v>56</v>
      </c>
      <c r="E21" s="317">
        <f>B21*C21*D21</f>
        <v>448</v>
      </c>
      <c r="G21" s="5"/>
    </row>
    <row r="22" spans="1:7" ht="14.1" customHeight="1" x14ac:dyDescent="0.25">
      <c r="A22" s="264" t="s">
        <v>634</v>
      </c>
      <c r="B22" s="576">
        <v>4</v>
      </c>
      <c r="C22" s="262">
        <v>6</v>
      </c>
      <c r="D22" s="305">
        <v>12</v>
      </c>
      <c r="E22" s="317">
        <f>B22*C22*D22</f>
        <v>288</v>
      </c>
      <c r="G22" s="5"/>
    </row>
    <row r="23" spans="1:7" ht="14.1" customHeight="1" x14ac:dyDescent="0.25">
      <c r="A23" s="264" t="s">
        <v>155</v>
      </c>
      <c r="B23" s="576">
        <v>4</v>
      </c>
      <c r="C23" s="262">
        <v>2</v>
      </c>
      <c r="D23" s="263">
        <f>D8</f>
        <v>64.5</v>
      </c>
      <c r="E23" s="317">
        <f>B23*C23*D23</f>
        <v>516</v>
      </c>
      <c r="G23" s="5"/>
    </row>
    <row r="24" spans="1:7" ht="14.1" customHeight="1" x14ac:dyDescent="0.25">
      <c r="A24" s="306"/>
      <c r="B24" s="262"/>
      <c r="C24" s="262"/>
      <c r="D24" s="263"/>
      <c r="E24" s="320">
        <f>SUM(E19:E23)</f>
        <v>3688</v>
      </c>
      <c r="G24" s="5"/>
    </row>
    <row r="25" spans="1:7" ht="14.1" customHeight="1" x14ac:dyDescent="0.25">
      <c r="A25" s="306" t="s">
        <v>143</v>
      </c>
      <c r="B25" s="262"/>
      <c r="C25" s="262"/>
      <c r="D25" s="262"/>
      <c r="E25" s="265"/>
      <c r="G25" s="5"/>
    </row>
    <row r="26" spans="1:7" s="7" customFormat="1" ht="14.1" customHeight="1" x14ac:dyDescent="0.25">
      <c r="A26" s="67" t="s">
        <v>134</v>
      </c>
      <c r="B26" s="303" t="s">
        <v>135</v>
      </c>
      <c r="C26" s="303" t="s">
        <v>136</v>
      </c>
      <c r="D26" s="303" t="s">
        <v>137</v>
      </c>
      <c r="E26" s="304" t="s">
        <v>138</v>
      </c>
      <c r="F26"/>
    </row>
    <row r="27" spans="1:7" ht="14.1" customHeight="1" x14ac:dyDescent="0.25">
      <c r="A27" s="264" t="s">
        <v>141</v>
      </c>
      <c r="B27" s="262">
        <v>2</v>
      </c>
      <c r="C27" s="262">
        <v>1</v>
      </c>
      <c r="D27" s="305">
        <f>D7</f>
        <v>56</v>
      </c>
      <c r="E27" s="317">
        <f>B27*C27*D27</f>
        <v>112</v>
      </c>
      <c r="G27" s="5"/>
    </row>
    <row r="28" spans="1:7" ht="14.1" customHeight="1" x14ac:dyDescent="0.25">
      <c r="A28" s="306"/>
      <c r="B28" s="262"/>
      <c r="C28" s="262"/>
      <c r="D28" s="263"/>
      <c r="E28" s="321">
        <f>SUM(E27)</f>
        <v>112</v>
      </c>
      <c r="G28" s="5"/>
    </row>
    <row r="29" spans="1:7" ht="14.1" customHeight="1" x14ac:dyDescent="0.25">
      <c r="A29" s="306" t="s">
        <v>144</v>
      </c>
      <c r="B29" s="262"/>
      <c r="C29" s="262"/>
      <c r="D29" s="262"/>
      <c r="E29" s="265"/>
      <c r="G29" s="5"/>
    </row>
    <row r="30" spans="1:7" s="7" customFormat="1" ht="14.1" customHeight="1" x14ac:dyDescent="0.25">
      <c r="A30" s="29" t="s">
        <v>134</v>
      </c>
      <c r="B30" s="303" t="s">
        <v>135</v>
      </c>
      <c r="C30" s="303" t="s">
        <v>136</v>
      </c>
      <c r="D30" s="303" t="s">
        <v>137</v>
      </c>
      <c r="E30" s="304" t="s">
        <v>138</v>
      </c>
      <c r="F30"/>
    </row>
    <row r="31" spans="1:7" ht="14.1" customHeight="1" x14ac:dyDescent="0.25">
      <c r="A31" s="264" t="s">
        <v>156</v>
      </c>
      <c r="B31" s="262">
        <v>2</v>
      </c>
      <c r="C31" s="262">
        <v>1</v>
      </c>
      <c r="D31" s="305">
        <f>D4</f>
        <v>98.5</v>
      </c>
      <c r="E31" s="317">
        <f>B31*C31*D31</f>
        <v>197</v>
      </c>
      <c r="G31" s="5"/>
    </row>
    <row r="32" spans="1:7" ht="14.1" customHeight="1" x14ac:dyDescent="0.25">
      <c r="A32" s="264" t="s">
        <v>155</v>
      </c>
      <c r="B32" s="262">
        <v>2</v>
      </c>
      <c r="C32" s="262">
        <v>1</v>
      </c>
      <c r="D32" s="305">
        <v>64.5</v>
      </c>
      <c r="E32" s="317">
        <f>B32*C32*D32</f>
        <v>129</v>
      </c>
      <c r="G32" s="5"/>
    </row>
    <row r="33" spans="1:7" ht="14.1" customHeight="1" x14ac:dyDescent="0.25">
      <c r="A33" s="264" t="s">
        <v>635</v>
      </c>
      <c r="B33" s="262">
        <v>2</v>
      </c>
      <c r="C33" s="262">
        <v>3</v>
      </c>
      <c r="D33" s="305">
        <f>D6</f>
        <v>12</v>
      </c>
      <c r="E33" s="317">
        <f>B33*C33*D33</f>
        <v>72</v>
      </c>
      <c r="G33" s="5"/>
    </row>
    <row r="34" spans="1:7" ht="18" customHeight="1" x14ac:dyDescent="0.25">
      <c r="A34" s="306"/>
      <c r="B34" s="262"/>
      <c r="C34" s="262"/>
      <c r="D34" s="305"/>
      <c r="E34" s="322">
        <f>SUM(E31:E33)</f>
        <v>398</v>
      </c>
      <c r="G34" s="5"/>
    </row>
    <row r="35" spans="1:7" ht="14.1" customHeight="1" x14ac:dyDescent="0.25">
      <c r="A35" s="306" t="s">
        <v>157</v>
      </c>
      <c r="B35" s="262"/>
      <c r="C35" s="262"/>
      <c r="D35" s="307"/>
      <c r="E35" s="323"/>
      <c r="G35" s="5"/>
    </row>
    <row r="36" spans="1:7" ht="14.1" customHeight="1" x14ac:dyDescent="0.25">
      <c r="A36" s="29" t="s">
        <v>134</v>
      </c>
      <c r="B36" s="303"/>
      <c r="C36" s="303" t="s">
        <v>136</v>
      </c>
      <c r="D36" s="303" t="s">
        <v>137</v>
      </c>
      <c r="E36" s="304" t="s">
        <v>138</v>
      </c>
      <c r="G36" s="5"/>
    </row>
    <row r="37" spans="1:7" ht="14.1" customHeight="1" x14ac:dyDescent="0.25">
      <c r="A37" s="264" t="s">
        <v>146</v>
      </c>
      <c r="B37" s="262"/>
      <c r="C37" s="262">
        <v>5</v>
      </c>
      <c r="D37" s="305">
        <v>120</v>
      </c>
      <c r="E37" s="511">
        <f>C37*D37</f>
        <v>600</v>
      </c>
      <c r="F37" s="249"/>
      <c r="G37" s="5"/>
    </row>
    <row r="38" spans="1:7" ht="14.1" customHeight="1" x14ac:dyDescent="0.25">
      <c r="A38" s="264" t="s">
        <v>10</v>
      </c>
      <c r="B38" s="262"/>
      <c r="C38" s="262">
        <v>500</v>
      </c>
      <c r="D38" s="305"/>
      <c r="E38" s="511">
        <f t="shared" ref="E38:E45" si="0">C38*D38</f>
        <v>0</v>
      </c>
      <c r="G38" s="5"/>
    </row>
    <row r="39" spans="1:7" ht="14.1" customHeight="1" x14ac:dyDescent="0.25">
      <c r="A39" s="264" t="s">
        <v>161</v>
      </c>
      <c r="B39" s="262"/>
      <c r="C39" s="262">
        <v>5</v>
      </c>
      <c r="D39" s="305">
        <f>12.2</f>
        <v>12.2</v>
      </c>
      <c r="E39" s="511">
        <f t="shared" si="0"/>
        <v>61</v>
      </c>
      <c r="G39" s="5"/>
    </row>
    <row r="40" spans="1:7" ht="14.1" customHeight="1" x14ac:dyDescent="0.25">
      <c r="A40" s="308" t="s">
        <v>158</v>
      </c>
      <c r="B40" s="309"/>
      <c r="C40" s="309">
        <v>3</v>
      </c>
      <c r="D40" s="310">
        <f>6.95</f>
        <v>6.95</v>
      </c>
      <c r="E40" s="511">
        <f t="shared" si="0"/>
        <v>20.85</v>
      </c>
      <c r="G40" s="5"/>
    </row>
    <row r="41" spans="1:7" ht="14.1" customHeight="1" x14ac:dyDescent="0.25">
      <c r="A41" s="308" t="s">
        <v>159</v>
      </c>
      <c r="B41" s="309"/>
      <c r="C41" s="309">
        <v>10</v>
      </c>
      <c r="D41" s="310">
        <f>21.2</f>
        <v>21.2</v>
      </c>
      <c r="E41" s="511">
        <f t="shared" si="0"/>
        <v>212</v>
      </c>
      <c r="G41" s="5"/>
    </row>
    <row r="42" spans="1:7" ht="14.1" customHeight="1" x14ac:dyDescent="0.25">
      <c r="A42" s="308" t="s">
        <v>145</v>
      </c>
      <c r="B42" s="309"/>
      <c r="C42" s="309">
        <v>10</v>
      </c>
      <c r="D42" s="310">
        <f>295+18+10+10</f>
        <v>333</v>
      </c>
      <c r="E42" s="511">
        <f t="shared" si="0"/>
        <v>3330</v>
      </c>
      <c r="G42" s="5"/>
    </row>
    <row r="43" spans="1:7" ht="14.1" customHeight="1" x14ac:dyDescent="0.25">
      <c r="A43" s="308" t="s">
        <v>160</v>
      </c>
      <c r="B43" s="309"/>
      <c r="C43" s="309">
        <v>10</v>
      </c>
      <c r="D43" s="310"/>
      <c r="E43" s="511">
        <f t="shared" si="0"/>
        <v>0</v>
      </c>
      <c r="G43" s="5"/>
    </row>
    <row r="44" spans="1:7" ht="13.5" customHeight="1" x14ac:dyDescent="0.25">
      <c r="A44" s="264" t="s">
        <v>11</v>
      </c>
      <c r="B44" s="262"/>
      <c r="C44" s="262">
        <v>40</v>
      </c>
      <c r="D44" s="263">
        <v>14</v>
      </c>
      <c r="E44" s="511">
        <f t="shared" si="0"/>
        <v>560</v>
      </c>
      <c r="G44" s="5"/>
    </row>
    <row r="45" spans="1:7" ht="13.5" customHeight="1" x14ac:dyDescent="0.25">
      <c r="A45" s="264" t="s">
        <v>414</v>
      </c>
      <c r="B45" s="262"/>
      <c r="C45" s="262">
        <v>30</v>
      </c>
      <c r="D45" s="263">
        <v>30</v>
      </c>
      <c r="E45" s="511">
        <f t="shared" si="0"/>
        <v>900</v>
      </c>
      <c r="G45" s="5"/>
    </row>
    <row r="46" spans="1:7" ht="13.5" customHeight="1" x14ac:dyDescent="0.25">
      <c r="A46" s="311"/>
      <c r="B46" s="312"/>
      <c r="C46" s="312"/>
      <c r="D46" s="313"/>
      <c r="E46" s="324">
        <f>SUM(E37:E45)</f>
        <v>5683.85</v>
      </c>
      <c r="G46" s="5"/>
    </row>
    <row r="47" spans="1:7" ht="13.5" customHeight="1" x14ac:dyDescent="0.25">
      <c r="A47" s="311"/>
      <c r="B47" s="312"/>
      <c r="C47" s="312"/>
      <c r="D47" s="313"/>
      <c r="E47" s="324"/>
      <c r="G47" s="5"/>
    </row>
    <row r="48" spans="1:7" ht="30" customHeight="1" x14ac:dyDescent="0.25">
      <c r="A48" s="314" t="s">
        <v>113</v>
      </c>
      <c r="B48" s="315"/>
      <c r="C48" s="315"/>
      <c r="D48" s="266"/>
      <c r="E48" s="316">
        <f>E9+E16+E24+E28+E34+E46+E47</f>
        <v>22102.35</v>
      </c>
      <c r="G48" s="5"/>
    </row>
    <row r="49" spans="1:7" ht="18.75" customHeight="1" x14ac:dyDescent="0.2">
      <c r="A49" s="12"/>
      <c r="B49" s="12"/>
      <c r="C49" s="12"/>
      <c r="D49" s="12"/>
      <c r="E49" s="12"/>
      <c r="G49" s="5"/>
    </row>
    <row r="50" spans="1:7" ht="18.75" customHeight="1" x14ac:dyDescent="0.2">
      <c r="A50" s="12"/>
      <c r="B50" s="12"/>
      <c r="C50" s="12"/>
      <c r="D50" s="12"/>
      <c r="E50" s="12"/>
      <c r="G50" s="5"/>
    </row>
    <row r="51" spans="1:7" ht="18.75" customHeight="1" x14ac:dyDescent="0.2">
      <c r="A51" s="12"/>
      <c r="B51" s="12"/>
      <c r="C51" s="12"/>
      <c r="D51" s="12"/>
      <c r="E51" s="12"/>
      <c r="G51" s="5"/>
    </row>
    <row r="52" spans="1:7" ht="18.75" customHeight="1" x14ac:dyDescent="0.2">
      <c r="A52" s="12"/>
      <c r="B52" s="12"/>
      <c r="C52" s="12"/>
      <c r="D52" s="12"/>
      <c r="E52" s="12"/>
      <c r="G52" s="5"/>
    </row>
    <row r="53" spans="1:7" ht="18.75" customHeight="1" x14ac:dyDescent="0.2">
      <c r="A53" s="12"/>
      <c r="B53" s="12"/>
      <c r="C53" s="12"/>
      <c r="D53" s="12"/>
      <c r="E53" s="12"/>
      <c r="G53" s="5"/>
    </row>
    <row r="54" spans="1:7" ht="18.75" customHeight="1" x14ac:dyDescent="0.2">
      <c r="A54" s="12"/>
      <c r="B54" s="12"/>
      <c r="C54" s="12"/>
      <c r="D54" s="12"/>
      <c r="E54" s="12"/>
      <c r="G54" s="5"/>
    </row>
    <row r="55" spans="1:7" ht="18.75" customHeight="1" x14ac:dyDescent="0.2">
      <c r="A55" s="12"/>
      <c r="B55" s="12"/>
      <c r="C55" s="12"/>
      <c r="D55" s="12"/>
      <c r="E55" s="12"/>
      <c r="G55" s="5"/>
    </row>
    <row r="56" spans="1:7" ht="18.75" customHeight="1" x14ac:dyDescent="0.2">
      <c r="A56" s="12"/>
      <c r="B56" s="12"/>
      <c r="C56" s="12"/>
      <c r="D56" s="12"/>
      <c r="E56" s="12"/>
      <c r="G56" s="5"/>
    </row>
    <row r="57" spans="1:7" ht="18.75" customHeight="1" x14ac:dyDescent="0.2">
      <c r="A57" s="12"/>
      <c r="B57" s="12"/>
      <c r="C57" s="12"/>
      <c r="D57" s="12"/>
      <c r="E57" s="12"/>
      <c r="G57" s="5"/>
    </row>
    <row r="58" spans="1:7" ht="18.75" customHeight="1" x14ac:dyDescent="0.2">
      <c r="A58" s="12"/>
      <c r="B58" s="12"/>
      <c r="C58" s="12"/>
      <c r="D58" s="12"/>
      <c r="E58" s="12"/>
      <c r="G58" s="5"/>
    </row>
    <row r="59" spans="1:7" ht="18.75" customHeight="1" x14ac:dyDescent="0.2">
      <c r="A59" s="12"/>
      <c r="B59" s="12"/>
      <c r="C59" s="12"/>
      <c r="D59" s="12"/>
      <c r="E59" s="12"/>
      <c r="G59" s="5"/>
    </row>
    <row r="60" spans="1:7" ht="18.75" customHeight="1" x14ac:dyDescent="0.2">
      <c r="A60" s="12"/>
      <c r="B60" s="12"/>
      <c r="C60" s="12"/>
      <c r="D60" s="12"/>
      <c r="E60" s="12"/>
      <c r="G60" s="12"/>
    </row>
    <row r="61" spans="1:7" ht="18.75" customHeight="1" x14ac:dyDescent="0.2">
      <c r="A61" s="12"/>
      <c r="B61" s="12"/>
      <c r="C61" s="12"/>
      <c r="D61" s="12"/>
      <c r="E61" s="12"/>
      <c r="G61" s="12"/>
    </row>
    <row r="62" spans="1:7" ht="18.75" customHeight="1" x14ac:dyDescent="0.2">
      <c r="A62" s="12"/>
      <c r="B62" s="12"/>
      <c r="C62" s="12"/>
      <c r="D62" s="12"/>
      <c r="E62" s="12"/>
      <c r="G62" s="12"/>
    </row>
    <row r="63" spans="1:7" ht="18.75" customHeight="1" x14ac:dyDescent="0.2">
      <c r="A63" s="12"/>
      <c r="B63" s="12"/>
      <c r="C63" s="12"/>
      <c r="D63" s="12"/>
      <c r="E63" s="12"/>
      <c r="G63" s="12"/>
    </row>
    <row r="64" spans="1:7" ht="18.75" customHeight="1" x14ac:dyDescent="0.2">
      <c r="A64" s="12"/>
      <c r="B64" s="12"/>
      <c r="C64" s="12"/>
      <c r="D64" s="12"/>
      <c r="E64" s="12"/>
      <c r="G64" s="12"/>
    </row>
    <row r="65" spans="1:7" ht="18.75" customHeight="1" x14ac:dyDescent="0.2">
      <c r="A65" s="12"/>
      <c r="B65" s="12"/>
      <c r="C65" s="12"/>
      <c r="D65" s="12"/>
      <c r="E65" s="12"/>
      <c r="G65" s="12"/>
    </row>
    <row r="66" spans="1:7" ht="18.75" customHeight="1" x14ac:dyDescent="0.2">
      <c r="A66" s="12"/>
      <c r="B66" s="12"/>
      <c r="C66" s="12"/>
      <c r="D66" s="12"/>
      <c r="E66" s="12"/>
      <c r="G66" s="12"/>
    </row>
    <row r="67" spans="1:7" ht="18.75" customHeight="1" x14ac:dyDescent="0.2">
      <c r="A67" s="12"/>
      <c r="B67" s="12"/>
      <c r="C67" s="12"/>
      <c r="D67" s="12"/>
      <c r="E67" s="12"/>
      <c r="G67" s="12"/>
    </row>
    <row r="68" spans="1:7" ht="18.75" customHeight="1" x14ac:dyDescent="0.2">
      <c r="A68" s="12"/>
      <c r="B68" s="12"/>
      <c r="C68" s="12"/>
      <c r="D68" s="12"/>
      <c r="E68" s="12"/>
      <c r="G68" s="12"/>
    </row>
    <row r="69" spans="1:7" ht="18.75" customHeight="1" x14ac:dyDescent="0.2">
      <c r="A69" s="12"/>
      <c r="B69" s="12"/>
      <c r="C69" s="12"/>
      <c r="D69" s="12"/>
      <c r="E69" s="12"/>
      <c r="G69" s="12"/>
    </row>
    <row r="70" spans="1:7" ht="18.75" customHeight="1" x14ac:dyDescent="0.2">
      <c r="A70" s="12"/>
      <c r="B70" s="12"/>
      <c r="C70" s="12"/>
      <c r="D70" s="12"/>
      <c r="E70" s="12"/>
      <c r="G70" s="12"/>
    </row>
    <row r="71" spans="1:7" ht="18.75" customHeight="1" x14ac:dyDescent="0.2">
      <c r="A71" s="12"/>
      <c r="B71" s="12"/>
      <c r="C71" s="12"/>
      <c r="D71" s="12"/>
      <c r="E71" s="12"/>
      <c r="G71" s="12"/>
    </row>
    <row r="72" spans="1:7" ht="18.75" customHeight="1" x14ac:dyDescent="0.2">
      <c r="A72" s="12"/>
      <c r="B72" s="12"/>
      <c r="C72" s="12"/>
      <c r="D72" s="12"/>
      <c r="E72" s="12"/>
      <c r="G72" s="12"/>
    </row>
    <row r="73" spans="1:7" ht="18.75" customHeight="1" x14ac:dyDescent="0.2">
      <c r="A73" s="12"/>
      <c r="B73" s="12"/>
      <c r="C73" s="12"/>
      <c r="D73" s="12"/>
      <c r="E73" s="12"/>
      <c r="G73" s="12"/>
    </row>
    <row r="74" spans="1:7" ht="18.75" customHeight="1" x14ac:dyDescent="0.2">
      <c r="A74" s="12"/>
      <c r="B74" s="12"/>
      <c r="C74" s="12"/>
      <c r="D74" s="12"/>
      <c r="E74" s="12"/>
      <c r="G74" s="12"/>
    </row>
    <row r="75" spans="1:7" ht="18.75" customHeight="1" x14ac:dyDescent="0.2">
      <c r="A75" s="12"/>
      <c r="B75" s="12"/>
      <c r="C75" s="12"/>
      <c r="D75" s="12"/>
      <c r="E75" s="12"/>
      <c r="G75" s="12"/>
    </row>
    <row r="76" spans="1:7" ht="18.75" customHeight="1" x14ac:dyDescent="0.2">
      <c r="A76" s="12"/>
      <c r="B76" s="12"/>
      <c r="C76" s="12"/>
      <c r="D76" s="12"/>
      <c r="E76" s="12"/>
      <c r="G76" s="12"/>
    </row>
    <row r="77" spans="1:7" ht="18.75" customHeight="1" x14ac:dyDescent="0.2">
      <c r="A77" s="12"/>
      <c r="B77" s="12"/>
      <c r="C77" s="12"/>
      <c r="D77" s="12"/>
      <c r="E77" s="12"/>
      <c r="G77" s="12"/>
    </row>
    <row r="78" spans="1:7" ht="18.75" customHeight="1" x14ac:dyDescent="0.2">
      <c r="A78" s="12"/>
      <c r="B78" s="12"/>
      <c r="C78" s="12"/>
      <c r="D78" s="12"/>
      <c r="E78" s="12"/>
      <c r="G78" s="12"/>
    </row>
    <row r="79" spans="1:7" ht="18.75" customHeight="1" x14ac:dyDescent="0.2">
      <c r="A79" s="12"/>
      <c r="B79" s="12"/>
      <c r="C79" s="12"/>
      <c r="D79" s="12"/>
      <c r="E79" s="12"/>
      <c r="G79" s="12"/>
    </row>
    <row r="80" spans="1:7" ht="18.75" customHeight="1" x14ac:dyDescent="0.2">
      <c r="A80" s="12"/>
      <c r="B80" s="12"/>
      <c r="C80" s="12"/>
      <c r="D80" s="12"/>
      <c r="E80" s="12"/>
      <c r="G80" s="12"/>
    </row>
    <row r="81" spans="1:7" ht="18.75" customHeight="1" x14ac:dyDescent="0.2">
      <c r="A81" s="12"/>
      <c r="B81" s="12"/>
      <c r="C81" s="12"/>
      <c r="D81" s="12"/>
      <c r="E81" s="12"/>
      <c r="G81" s="12"/>
    </row>
    <row r="82" spans="1:7" ht="18.75" customHeight="1" x14ac:dyDescent="0.2">
      <c r="C82" s="5"/>
      <c r="D82" s="5"/>
      <c r="G82" s="5"/>
    </row>
    <row r="83" spans="1:7" ht="18.75" customHeight="1" x14ac:dyDescent="0.2">
      <c r="C83" s="5"/>
      <c r="D83" s="5"/>
      <c r="G83" s="5"/>
    </row>
    <row r="84" spans="1:7" ht="18.75" customHeight="1" x14ac:dyDescent="0.2">
      <c r="C84" s="5"/>
      <c r="D84" s="5"/>
      <c r="G84" s="5"/>
    </row>
    <row r="85" spans="1:7" ht="18.75" customHeight="1" x14ac:dyDescent="0.2">
      <c r="C85" s="5"/>
      <c r="D85" s="5"/>
      <c r="G85" s="5"/>
    </row>
    <row r="86" spans="1:7" ht="18.75" customHeight="1" x14ac:dyDescent="0.2">
      <c r="C86" s="5"/>
      <c r="D86" s="5"/>
      <c r="G86" s="5"/>
    </row>
    <row r="87" spans="1:7" ht="18.75" customHeight="1" x14ac:dyDescent="0.2">
      <c r="C87" s="5"/>
      <c r="D87" s="5"/>
      <c r="G87" s="5"/>
    </row>
    <row r="88" spans="1:7" ht="18.75" customHeight="1" x14ac:dyDescent="0.2">
      <c r="C88" s="5"/>
      <c r="D88" s="5"/>
      <c r="G88" s="5"/>
    </row>
    <row r="89" spans="1:7" ht="18.75" customHeight="1" x14ac:dyDescent="0.2">
      <c r="C89" s="5"/>
      <c r="D89" s="5"/>
      <c r="G89" s="5"/>
    </row>
    <row r="90" spans="1:7" ht="18.75" customHeight="1" x14ac:dyDescent="0.2">
      <c r="C90" s="5"/>
      <c r="D90" s="5"/>
      <c r="G90" s="5"/>
    </row>
    <row r="91" spans="1:7" ht="18.75" customHeight="1" x14ac:dyDescent="0.2">
      <c r="C91" s="5"/>
      <c r="D91" s="5"/>
      <c r="G91" s="5"/>
    </row>
    <row r="92" spans="1:7" ht="18.75" customHeight="1" x14ac:dyDescent="0.2">
      <c r="C92" s="5"/>
      <c r="D92" s="5"/>
      <c r="G92" s="5"/>
    </row>
    <row r="93" spans="1:7" ht="18.75" customHeight="1" x14ac:dyDescent="0.2">
      <c r="C93" s="5"/>
      <c r="D93" s="5"/>
      <c r="G93" s="5"/>
    </row>
    <row r="94" spans="1:7" ht="18.75" customHeight="1" x14ac:dyDescent="0.2">
      <c r="C94" s="5"/>
      <c r="D94" s="5"/>
      <c r="G94" s="5"/>
    </row>
    <row r="95" spans="1:7" ht="18.75" customHeight="1" x14ac:dyDescent="0.2">
      <c r="C95" s="5"/>
      <c r="D95" s="5"/>
      <c r="G95" s="5"/>
    </row>
    <row r="96" spans="1:7" ht="18.75" customHeight="1" x14ac:dyDescent="0.2">
      <c r="C96" s="5"/>
      <c r="D96" s="5"/>
      <c r="G96" s="5"/>
    </row>
    <row r="97" spans="3:7" ht="18.75" customHeight="1" x14ac:dyDescent="0.2">
      <c r="C97" s="5"/>
      <c r="D97" s="5"/>
      <c r="G97" s="5"/>
    </row>
    <row r="98" spans="3:7" ht="18.75" customHeight="1" x14ac:dyDescent="0.2">
      <c r="C98" s="5"/>
      <c r="D98" s="5"/>
      <c r="G98" s="5"/>
    </row>
    <row r="99" spans="3:7" ht="18.75" customHeight="1" x14ac:dyDescent="0.2">
      <c r="C99" s="5"/>
      <c r="D99" s="5"/>
      <c r="G99" s="5"/>
    </row>
    <row r="100" spans="3:7" ht="18.75" customHeight="1" x14ac:dyDescent="0.2">
      <c r="C100" s="5"/>
      <c r="D100" s="5"/>
      <c r="G100" s="5"/>
    </row>
    <row r="101" spans="3:7" ht="18.75" customHeight="1" x14ac:dyDescent="0.2">
      <c r="C101" s="5"/>
      <c r="D101" s="5"/>
      <c r="G101" s="5"/>
    </row>
    <row r="102" spans="3:7" ht="18.75" customHeight="1" x14ac:dyDescent="0.2">
      <c r="C102" s="5"/>
      <c r="D102" s="5"/>
      <c r="G102" s="5"/>
    </row>
    <row r="103" spans="3:7" ht="18.75" customHeight="1" x14ac:dyDescent="0.2">
      <c r="C103" s="5"/>
      <c r="D103" s="5"/>
      <c r="G103" s="5"/>
    </row>
    <row r="104" spans="3:7" ht="18.75" customHeight="1" x14ac:dyDescent="0.2">
      <c r="C104" s="5"/>
      <c r="D104" s="5"/>
      <c r="G104" s="5"/>
    </row>
    <row r="105" spans="3:7" ht="18.75" customHeight="1" x14ac:dyDescent="0.2">
      <c r="C105" s="5"/>
      <c r="D105" s="5"/>
      <c r="G105" s="5"/>
    </row>
    <row r="106" spans="3:7" ht="18.75" customHeight="1" x14ac:dyDescent="0.2">
      <c r="C106" s="5"/>
      <c r="D106" s="5"/>
      <c r="G106" s="5"/>
    </row>
    <row r="107" spans="3:7" ht="18.75" customHeight="1" x14ac:dyDescent="0.2">
      <c r="C107" s="5"/>
      <c r="D107" s="5"/>
      <c r="G107" s="5"/>
    </row>
    <row r="108" spans="3:7" ht="18.75" customHeight="1" x14ac:dyDescent="0.2">
      <c r="C108" s="5"/>
      <c r="D108" s="5"/>
      <c r="G108" s="5"/>
    </row>
    <row r="109" spans="3:7" ht="18.75" customHeight="1" x14ac:dyDescent="0.2">
      <c r="C109" s="5"/>
      <c r="D109" s="5"/>
      <c r="G109" s="5"/>
    </row>
    <row r="110" spans="3:7" ht="18.75" customHeight="1" x14ac:dyDescent="0.2">
      <c r="C110" s="5"/>
      <c r="D110" s="5"/>
      <c r="G110" s="5"/>
    </row>
    <row r="111" spans="3:7" ht="18.75" customHeight="1" x14ac:dyDescent="0.2">
      <c r="C111" s="5"/>
      <c r="D111" s="5"/>
      <c r="G111" s="5"/>
    </row>
    <row r="112" spans="3:7" ht="18.75" customHeight="1" x14ac:dyDescent="0.2">
      <c r="C112" s="5"/>
      <c r="D112" s="5"/>
      <c r="G112" s="5"/>
    </row>
    <row r="113" spans="3:7" ht="18.75" customHeight="1" x14ac:dyDescent="0.2">
      <c r="C113" s="5"/>
      <c r="D113" s="5"/>
      <c r="G113" s="5"/>
    </row>
    <row r="114" spans="3:7" ht="18.75" customHeight="1" x14ac:dyDescent="0.2">
      <c r="C114" s="5"/>
      <c r="D114" s="5"/>
      <c r="G114" s="5"/>
    </row>
    <row r="115" spans="3:7" ht="18.75" customHeight="1" x14ac:dyDescent="0.2">
      <c r="C115" s="5"/>
      <c r="D115" s="5"/>
      <c r="G115" s="5"/>
    </row>
    <row r="116" spans="3:7" ht="18.75" customHeight="1" x14ac:dyDescent="0.2">
      <c r="C116" s="5"/>
      <c r="D116" s="5"/>
      <c r="G116" s="5"/>
    </row>
    <row r="117" spans="3:7" ht="18.75" customHeight="1" x14ac:dyDescent="0.2">
      <c r="C117" s="5"/>
      <c r="D117" s="5"/>
      <c r="G117" s="5"/>
    </row>
    <row r="118" spans="3:7" ht="18.75" customHeight="1" x14ac:dyDescent="0.2">
      <c r="C118" s="5"/>
      <c r="D118" s="5"/>
      <c r="G118" s="5"/>
    </row>
    <row r="119" spans="3:7" ht="18.75" customHeight="1" x14ac:dyDescent="0.2">
      <c r="C119" s="5"/>
      <c r="D119" s="5"/>
      <c r="G119" s="5"/>
    </row>
    <row r="120" spans="3:7" ht="18.75" customHeight="1" x14ac:dyDescent="0.2">
      <c r="C120" s="5"/>
      <c r="D120" s="5"/>
      <c r="G120" s="5"/>
    </row>
    <row r="121" spans="3:7" ht="18.75" customHeight="1" x14ac:dyDescent="0.2">
      <c r="C121" s="5"/>
      <c r="D121" s="5"/>
      <c r="G121" s="5"/>
    </row>
    <row r="122" spans="3:7" ht="18.75" customHeight="1" x14ac:dyDescent="0.2">
      <c r="C122" s="5"/>
      <c r="D122" s="5"/>
      <c r="G122" s="5"/>
    </row>
    <row r="123" spans="3:7" ht="18.75" customHeight="1" x14ac:dyDescent="0.2">
      <c r="C123" s="5"/>
      <c r="D123" s="5"/>
      <c r="G123" s="5"/>
    </row>
    <row r="124" spans="3:7" ht="18.75" customHeight="1" x14ac:dyDescent="0.2">
      <c r="C124" s="5"/>
      <c r="D124" s="5"/>
      <c r="G124" s="5"/>
    </row>
    <row r="125" spans="3:7" ht="18.75" customHeight="1" x14ac:dyDescent="0.2">
      <c r="C125" s="5"/>
      <c r="D125" s="5"/>
      <c r="G125" s="5"/>
    </row>
    <row r="126" spans="3:7" ht="18.75" customHeight="1" x14ac:dyDescent="0.2">
      <c r="C126" s="5"/>
      <c r="D126" s="5"/>
      <c r="G126" s="5"/>
    </row>
    <row r="127" spans="3:7" ht="18.75" customHeight="1" x14ac:dyDescent="0.2">
      <c r="C127" s="5"/>
      <c r="D127" s="5"/>
      <c r="G127" s="5"/>
    </row>
    <row r="128" spans="3:7" ht="18.75" customHeight="1" x14ac:dyDescent="0.2">
      <c r="C128" s="5"/>
      <c r="D128" s="5"/>
      <c r="G128" s="5"/>
    </row>
    <row r="129" spans="3:7" ht="18.75" customHeight="1" x14ac:dyDescent="0.2">
      <c r="C129" s="5"/>
      <c r="D129" s="5"/>
      <c r="G129" s="5"/>
    </row>
    <row r="130" spans="3:7" ht="18.75" customHeight="1" x14ac:dyDescent="0.2">
      <c r="C130" s="5"/>
      <c r="D130" s="5"/>
      <c r="G130" s="5"/>
    </row>
    <row r="131" spans="3:7" ht="18.75" customHeight="1" x14ac:dyDescent="0.2">
      <c r="C131" s="5"/>
      <c r="D131" s="5"/>
      <c r="G131" s="5"/>
    </row>
    <row r="132" spans="3:7" ht="18.75" customHeight="1" x14ac:dyDescent="0.2">
      <c r="C132" s="5"/>
      <c r="D132" s="5"/>
      <c r="G132" s="5"/>
    </row>
    <row r="133" spans="3:7" ht="18.75" customHeight="1" x14ac:dyDescent="0.2">
      <c r="C133" s="5"/>
      <c r="D133" s="5"/>
      <c r="G133" s="5"/>
    </row>
    <row r="134" spans="3:7" ht="18.75" customHeight="1" x14ac:dyDescent="0.2">
      <c r="C134" s="5"/>
      <c r="D134" s="5"/>
      <c r="G134" s="5"/>
    </row>
    <row r="135" spans="3:7" ht="18.75" customHeight="1" x14ac:dyDescent="0.2">
      <c r="C135" s="5"/>
      <c r="D135" s="5"/>
      <c r="G135" s="5"/>
    </row>
    <row r="136" spans="3:7" ht="18.75" customHeight="1" x14ac:dyDescent="0.2">
      <c r="C136" s="5"/>
      <c r="D136" s="5"/>
      <c r="G136" s="5"/>
    </row>
    <row r="137" spans="3:7" ht="18.75" customHeight="1" x14ac:dyDescent="0.2">
      <c r="C137" s="5"/>
      <c r="D137" s="5"/>
      <c r="G137" s="5"/>
    </row>
    <row r="138" spans="3:7" ht="18.75" customHeight="1" x14ac:dyDescent="0.2">
      <c r="C138" s="5"/>
      <c r="D138" s="5"/>
      <c r="G138" s="5"/>
    </row>
    <row r="139" spans="3:7" ht="18.75" customHeight="1" x14ac:dyDescent="0.2">
      <c r="C139" s="5"/>
      <c r="D139" s="5"/>
      <c r="G139" s="5"/>
    </row>
    <row r="140" spans="3:7" ht="18.75" customHeight="1" x14ac:dyDescent="0.2">
      <c r="C140" s="5"/>
      <c r="D140" s="5"/>
      <c r="G140" s="5"/>
    </row>
    <row r="141" spans="3:7" ht="18.75" customHeight="1" x14ac:dyDescent="0.2">
      <c r="C141" s="5"/>
      <c r="D141" s="5"/>
      <c r="G141" s="5"/>
    </row>
    <row r="142" spans="3:7" ht="18.75" customHeight="1" x14ac:dyDescent="0.2">
      <c r="C142" s="5"/>
      <c r="D142" s="5"/>
      <c r="G142" s="5"/>
    </row>
    <row r="143" spans="3:7" ht="18.75" customHeight="1" x14ac:dyDescent="0.2">
      <c r="C143" s="5"/>
      <c r="D143" s="5"/>
      <c r="G143" s="5"/>
    </row>
    <row r="144" spans="3:7" ht="18.75" customHeight="1" x14ac:dyDescent="0.2">
      <c r="C144" s="5"/>
      <c r="D144" s="5"/>
      <c r="G144" s="5"/>
    </row>
    <row r="145" spans="3:7" ht="18.75" customHeight="1" x14ac:dyDescent="0.2">
      <c r="C145" s="5"/>
      <c r="D145" s="5"/>
      <c r="G145" s="5"/>
    </row>
    <row r="146" spans="3:7" ht="18.75" customHeight="1" x14ac:dyDescent="0.2">
      <c r="C146" s="5"/>
      <c r="D146" s="5"/>
      <c r="G146" s="5"/>
    </row>
    <row r="147" spans="3:7" ht="18.75" customHeight="1" x14ac:dyDescent="0.2">
      <c r="C147" s="5"/>
      <c r="D147" s="5"/>
      <c r="G147" s="5"/>
    </row>
    <row r="148" spans="3:7" ht="18.75" customHeight="1" x14ac:dyDescent="0.2">
      <c r="C148" s="5"/>
      <c r="D148" s="5"/>
      <c r="G148" s="5"/>
    </row>
    <row r="149" spans="3:7" ht="18.75" customHeight="1" x14ac:dyDescent="0.2">
      <c r="C149" s="5"/>
      <c r="D149" s="5"/>
      <c r="G149" s="5"/>
    </row>
    <row r="150" spans="3:7" ht="18.75" customHeight="1" x14ac:dyDescent="0.2">
      <c r="C150" s="5"/>
      <c r="D150" s="5"/>
      <c r="G150" s="5"/>
    </row>
    <row r="151" spans="3:7" ht="18.75" customHeight="1" x14ac:dyDescent="0.2">
      <c r="C151" s="5"/>
      <c r="D151" s="5"/>
      <c r="G151" s="5"/>
    </row>
    <row r="152" spans="3:7" ht="18.75" customHeight="1" x14ac:dyDescent="0.2">
      <c r="C152" s="5"/>
      <c r="D152" s="5"/>
      <c r="G152" s="5"/>
    </row>
    <row r="153" spans="3:7" ht="18.75" customHeight="1" x14ac:dyDescent="0.2">
      <c r="C153" s="5"/>
      <c r="D153" s="5"/>
      <c r="G153" s="5"/>
    </row>
    <row r="154" spans="3:7" ht="18.75" customHeight="1" x14ac:dyDescent="0.2">
      <c r="C154" s="5"/>
      <c r="D154" s="5"/>
      <c r="G154" s="5"/>
    </row>
    <row r="155" spans="3:7" ht="18.75" customHeight="1" x14ac:dyDescent="0.2">
      <c r="C155" s="5"/>
      <c r="D155" s="5"/>
      <c r="G155" s="5"/>
    </row>
    <row r="156" spans="3:7" ht="18.75" customHeight="1" x14ac:dyDescent="0.2">
      <c r="C156" s="5"/>
      <c r="D156" s="5"/>
      <c r="G156" s="5"/>
    </row>
    <row r="157" spans="3:7" ht="18.75" customHeight="1" x14ac:dyDescent="0.2">
      <c r="C157" s="5"/>
      <c r="D157" s="5"/>
      <c r="G157" s="5"/>
    </row>
    <row r="158" spans="3:7" ht="18.75" customHeight="1" x14ac:dyDescent="0.2">
      <c r="C158" s="5"/>
      <c r="D158" s="5"/>
      <c r="G158" s="5"/>
    </row>
    <row r="159" spans="3:7" ht="18.75" customHeight="1" x14ac:dyDescent="0.2">
      <c r="C159" s="5"/>
      <c r="D159" s="5"/>
      <c r="G159" s="5"/>
    </row>
    <row r="160" spans="3:7" ht="18.75" customHeight="1" x14ac:dyDescent="0.2">
      <c r="C160" s="5"/>
      <c r="D160" s="5"/>
      <c r="G160" s="5"/>
    </row>
    <row r="161" spans="3:7" ht="18.75" customHeight="1" x14ac:dyDescent="0.2">
      <c r="C161" s="5"/>
      <c r="D161" s="5"/>
      <c r="G161" s="5"/>
    </row>
    <row r="162" spans="3:7" ht="18.75" customHeight="1" x14ac:dyDescent="0.2">
      <c r="C162" s="5"/>
      <c r="D162" s="5"/>
      <c r="G162" s="5"/>
    </row>
    <row r="163" spans="3:7" ht="18.75" customHeight="1" x14ac:dyDescent="0.2">
      <c r="C163" s="5"/>
      <c r="D163" s="5"/>
      <c r="G163" s="5"/>
    </row>
    <row r="164" spans="3:7" ht="18.75" customHeight="1" x14ac:dyDescent="0.2">
      <c r="C164" s="5"/>
      <c r="D164" s="5"/>
      <c r="G164" s="5"/>
    </row>
    <row r="165" spans="3:7" ht="18.75" customHeight="1" x14ac:dyDescent="0.2">
      <c r="C165" s="5"/>
      <c r="D165" s="5"/>
      <c r="G165" s="5"/>
    </row>
    <row r="166" spans="3:7" ht="18.75" customHeight="1" x14ac:dyDescent="0.2">
      <c r="C166" s="5"/>
      <c r="D166" s="5"/>
      <c r="G166" s="5"/>
    </row>
    <row r="167" spans="3:7" ht="18.75" customHeight="1" x14ac:dyDescent="0.2">
      <c r="C167" s="5"/>
      <c r="D167" s="5"/>
      <c r="G167" s="5"/>
    </row>
    <row r="168" spans="3:7" ht="18.75" customHeight="1" x14ac:dyDescent="0.2">
      <c r="C168" s="5"/>
      <c r="D168" s="5"/>
      <c r="G168" s="5"/>
    </row>
    <row r="169" spans="3:7" ht="18.75" customHeight="1" x14ac:dyDescent="0.2">
      <c r="C169" s="5"/>
      <c r="D169" s="5"/>
      <c r="G169" s="5"/>
    </row>
    <row r="170" spans="3:7" ht="18.75" customHeight="1" x14ac:dyDescent="0.2">
      <c r="C170" s="5"/>
      <c r="D170" s="5"/>
      <c r="G170" s="5"/>
    </row>
    <row r="171" spans="3:7" ht="18.75" customHeight="1" x14ac:dyDescent="0.2">
      <c r="C171" s="5"/>
      <c r="D171" s="5"/>
      <c r="G171" s="5"/>
    </row>
    <row r="172" spans="3:7" ht="18.75" customHeight="1" x14ac:dyDescent="0.2">
      <c r="C172" s="5"/>
      <c r="D172" s="5"/>
      <c r="G172" s="5"/>
    </row>
    <row r="173" spans="3:7" ht="18.75" customHeight="1" x14ac:dyDescent="0.2">
      <c r="C173" s="5"/>
      <c r="D173" s="5"/>
      <c r="G173" s="5"/>
    </row>
    <row r="174" spans="3:7" ht="18.75" customHeight="1" x14ac:dyDescent="0.2">
      <c r="C174" s="5"/>
      <c r="D174" s="5"/>
      <c r="G174" s="5"/>
    </row>
    <row r="175" spans="3:7" ht="18.75" customHeight="1" x14ac:dyDescent="0.2">
      <c r="C175" s="5"/>
      <c r="D175" s="5"/>
      <c r="G175" s="5"/>
    </row>
    <row r="176" spans="3:7" ht="18.75" customHeight="1" x14ac:dyDescent="0.2">
      <c r="C176" s="5"/>
      <c r="D176" s="5"/>
      <c r="G176" s="5"/>
    </row>
    <row r="177" spans="3:7" ht="18.75" customHeight="1" x14ac:dyDescent="0.2">
      <c r="C177" s="5"/>
      <c r="D177" s="5"/>
      <c r="G177" s="5"/>
    </row>
    <row r="178" spans="3:7" ht="18.75" customHeight="1" x14ac:dyDescent="0.2">
      <c r="C178" s="5"/>
      <c r="D178" s="5"/>
      <c r="G178" s="5"/>
    </row>
    <row r="179" spans="3:7" ht="18.75" customHeight="1" x14ac:dyDescent="0.2">
      <c r="C179" s="5"/>
      <c r="D179" s="5"/>
      <c r="G179" s="5"/>
    </row>
    <row r="180" spans="3:7" ht="18.75" customHeight="1" x14ac:dyDescent="0.2">
      <c r="C180" s="5"/>
      <c r="D180" s="5"/>
      <c r="G180" s="5"/>
    </row>
  </sheetData>
  <mergeCells count="1">
    <mergeCell ref="A1:E1"/>
  </mergeCells>
  <phoneticPr fontId="20" type="noConversion"/>
  <printOptions horizontalCentered="1"/>
  <pageMargins left="0.75" right="0.75" top="0.75" bottom="0.75" header="0.5" footer="0.5"/>
  <pageSetup scale="98" orientation="portrait" r:id="rId1"/>
  <headerFooter alignWithMargins="0">
    <oddFooter>&amp;L&amp;Z&amp;F. 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26"/>
  <sheetViews>
    <sheetView workbookViewId="0"/>
  </sheetViews>
  <sheetFormatPr defaultRowHeight="16.5" x14ac:dyDescent="0.3"/>
  <cols>
    <col min="1" max="1" width="40.140625" style="111" bestFit="1" customWidth="1"/>
    <col min="2" max="4" width="10.7109375" style="111" hidden="1" customWidth="1"/>
    <col min="5" max="6" width="11.28515625" style="111" hidden="1" customWidth="1"/>
    <col min="7" max="8" width="11.28515625" style="111" customWidth="1"/>
    <col min="9" max="16384" width="9.140625" style="111"/>
  </cols>
  <sheetData>
    <row r="1" spans="1:9" ht="22.5" customHeight="1" x14ac:dyDescent="0.3">
      <c r="A1" s="571" t="s">
        <v>48</v>
      </c>
      <c r="B1" s="216"/>
      <c r="C1" s="216"/>
      <c r="D1" s="216"/>
      <c r="E1" s="216"/>
      <c r="F1" s="216"/>
      <c r="G1" s="216"/>
      <c r="H1" s="216"/>
      <c r="I1" s="216"/>
    </row>
    <row r="2" spans="1:9" x14ac:dyDescent="0.3">
      <c r="A2" s="299"/>
      <c r="B2" s="109">
        <v>2010</v>
      </c>
      <c r="C2" s="109">
        <v>2013</v>
      </c>
      <c r="D2" s="109">
        <v>2014</v>
      </c>
      <c r="E2" s="109">
        <v>2015</v>
      </c>
      <c r="F2" s="109">
        <v>2016</v>
      </c>
      <c r="G2" s="109">
        <v>2017</v>
      </c>
      <c r="H2" s="109">
        <v>2018</v>
      </c>
      <c r="I2" s="109">
        <v>2019</v>
      </c>
    </row>
    <row r="3" spans="1:9" x14ac:dyDescent="0.3">
      <c r="A3" s="299"/>
      <c r="B3" s="109"/>
      <c r="C3" s="109"/>
      <c r="D3" s="109"/>
      <c r="E3" s="109"/>
      <c r="F3" s="742"/>
      <c r="G3" s="742"/>
      <c r="H3" s="742"/>
      <c r="I3" s="742"/>
    </row>
    <row r="4" spans="1:9" x14ac:dyDescent="0.3">
      <c r="A4" s="52" t="s">
        <v>458</v>
      </c>
      <c r="B4" s="61">
        <v>200</v>
      </c>
      <c r="C4" s="53">
        <v>100</v>
      </c>
      <c r="D4" s="53">
        <v>100</v>
      </c>
      <c r="E4" s="53">
        <v>100</v>
      </c>
      <c r="F4" s="728">
        <v>100</v>
      </c>
      <c r="G4" s="728">
        <v>100</v>
      </c>
      <c r="H4" s="728">
        <v>100</v>
      </c>
      <c r="I4" s="728">
        <v>200</v>
      </c>
    </row>
    <row r="5" spans="1:9" x14ac:dyDescent="0.3">
      <c r="A5" s="196" t="s">
        <v>282</v>
      </c>
      <c r="B5" s="53">
        <v>4000</v>
      </c>
      <c r="C5" s="105">
        <v>5000</v>
      </c>
      <c r="D5" s="105">
        <v>5400</v>
      </c>
      <c r="E5" s="105">
        <f>5400+1800</f>
        <v>7200</v>
      </c>
      <c r="F5" s="721">
        <f>5400+2000</f>
        <v>7400</v>
      </c>
      <c r="G5" s="721">
        <f>5400+2000</f>
        <v>7400</v>
      </c>
      <c r="H5" s="721">
        <f>5400+4000+2000</f>
        <v>11400</v>
      </c>
      <c r="I5" s="721">
        <f>5400+4000+3000</f>
        <v>12400</v>
      </c>
    </row>
    <row r="6" spans="1:9" x14ac:dyDescent="0.3">
      <c r="A6" s="52" t="s">
        <v>459</v>
      </c>
      <c r="B6" s="61">
        <v>1500</v>
      </c>
      <c r="C6" s="53">
        <v>400</v>
      </c>
      <c r="D6" s="53">
        <v>400</v>
      </c>
      <c r="E6" s="53">
        <v>400</v>
      </c>
      <c r="F6" s="728">
        <v>600</v>
      </c>
      <c r="G6" s="728">
        <v>800</v>
      </c>
      <c r="H6" s="728">
        <v>800</v>
      </c>
      <c r="I6" s="728">
        <v>500</v>
      </c>
    </row>
    <row r="7" spans="1:9" x14ac:dyDescent="0.3">
      <c r="A7" s="52" t="s">
        <v>460</v>
      </c>
      <c r="B7" s="61">
        <v>600</v>
      </c>
      <c r="C7" s="53">
        <v>300</v>
      </c>
      <c r="D7" s="53">
        <v>300</v>
      </c>
      <c r="E7" s="53">
        <v>350</v>
      </c>
      <c r="F7" s="728">
        <v>400</v>
      </c>
      <c r="G7" s="728">
        <v>400</v>
      </c>
      <c r="H7" s="728">
        <v>400</v>
      </c>
      <c r="I7" s="728">
        <v>300</v>
      </c>
    </row>
    <row r="8" spans="1:9" x14ac:dyDescent="0.3">
      <c r="A8" s="39" t="s">
        <v>461</v>
      </c>
      <c r="B8" s="61">
        <v>800</v>
      </c>
      <c r="C8" s="61">
        <v>800</v>
      </c>
      <c r="D8" s="61">
        <f>8*250</f>
        <v>2000</v>
      </c>
      <c r="E8" s="61">
        <v>2000</v>
      </c>
      <c r="F8" s="729">
        <v>2000</v>
      </c>
      <c r="G8" s="729">
        <v>2000</v>
      </c>
      <c r="H8" s="729">
        <v>2000</v>
      </c>
      <c r="I8" s="729">
        <v>2500</v>
      </c>
    </row>
    <row r="9" spans="1:9" x14ac:dyDescent="0.3">
      <c r="A9" s="52" t="s">
        <v>462</v>
      </c>
      <c r="B9" s="61">
        <v>1000</v>
      </c>
      <c r="C9" s="53">
        <v>500</v>
      </c>
      <c r="D9" s="53">
        <v>500</v>
      </c>
      <c r="E9" s="53">
        <v>600</v>
      </c>
      <c r="F9" s="728">
        <v>600</v>
      </c>
      <c r="G9" s="728">
        <v>1200</v>
      </c>
      <c r="H9" s="728">
        <v>1200</v>
      </c>
      <c r="I9" s="728">
        <v>1400</v>
      </c>
    </row>
    <row r="10" spans="1:9" x14ac:dyDescent="0.3">
      <c r="A10" s="39" t="s">
        <v>463</v>
      </c>
      <c r="B10" s="61">
        <v>11000</v>
      </c>
      <c r="C10" s="61">
        <v>10400</v>
      </c>
      <c r="D10" s="61">
        <f>8*1500</f>
        <v>12000</v>
      </c>
      <c r="E10" s="61">
        <f>1478.25*8</f>
        <v>11826</v>
      </c>
      <c r="F10" s="729">
        <f>1500*8</f>
        <v>12000</v>
      </c>
      <c r="G10" s="729">
        <f>1500*35</f>
        <v>52500</v>
      </c>
      <c r="H10" s="729">
        <f>1500*5</f>
        <v>7500</v>
      </c>
      <c r="I10" s="729">
        <f>1600*6</f>
        <v>9600</v>
      </c>
    </row>
    <row r="11" spans="1:9" x14ac:dyDescent="0.3">
      <c r="A11" s="52" t="s">
        <v>464</v>
      </c>
      <c r="B11" s="53">
        <v>1200</v>
      </c>
      <c r="C11" s="53">
        <v>1500</v>
      </c>
      <c r="D11" s="53">
        <v>1500</v>
      </c>
      <c r="E11" s="53">
        <v>1500</v>
      </c>
      <c r="F11" s="728">
        <v>1500</v>
      </c>
      <c r="G11" s="728">
        <v>2500</v>
      </c>
      <c r="H11" s="728">
        <v>2500</v>
      </c>
      <c r="I11" s="728">
        <v>2500</v>
      </c>
    </row>
    <row r="12" spans="1:9" x14ac:dyDescent="0.3">
      <c r="A12" s="39" t="s">
        <v>465</v>
      </c>
      <c r="B12" s="61">
        <v>11000</v>
      </c>
      <c r="C12" s="61">
        <v>6800</v>
      </c>
      <c r="D12" s="61">
        <f>8*900</f>
        <v>7200</v>
      </c>
      <c r="E12" s="61">
        <f>930.6*8</f>
        <v>7444.8</v>
      </c>
      <c r="F12" s="729">
        <f>950*8</f>
        <v>7600</v>
      </c>
      <c r="G12" s="729">
        <f>900*35</f>
        <v>31500</v>
      </c>
      <c r="H12" s="729">
        <f>900*5</f>
        <v>4500</v>
      </c>
      <c r="I12" s="729">
        <f>1000*6</f>
        <v>6000</v>
      </c>
    </row>
    <row r="13" spans="1:9" x14ac:dyDescent="0.3">
      <c r="A13" s="52" t="s">
        <v>466</v>
      </c>
      <c r="B13" s="61">
        <v>400</v>
      </c>
      <c r="C13" s="53">
        <v>200</v>
      </c>
      <c r="D13" s="53">
        <v>200</v>
      </c>
      <c r="E13" s="53">
        <v>100</v>
      </c>
      <c r="F13" s="728">
        <v>150</v>
      </c>
      <c r="G13" s="728">
        <v>150</v>
      </c>
      <c r="H13" s="728">
        <v>150</v>
      </c>
      <c r="I13" s="728">
        <v>300</v>
      </c>
    </row>
    <row r="14" spans="1:9" x14ac:dyDescent="0.3">
      <c r="A14" s="52" t="s">
        <v>467</v>
      </c>
      <c r="B14" s="62">
        <v>200</v>
      </c>
      <c r="C14" s="53">
        <v>400</v>
      </c>
      <c r="D14" s="53">
        <f>15*40</f>
        <v>600</v>
      </c>
      <c r="E14" s="53">
        <v>600</v>
      </c>
      <c r="F14" s="728">
        <v>600</v>
      </c>
      <c r="G14" s="728">
        <v>600</v>
      </c>
      <c r="H14" s="728">
        <v>600</v>
      </c>
      <c r="I14" s="728">
        <v>600</v>
      </c>
    </row>
    <row r="15" spans="1:9" x14ac:dyDescent="0.3">
      <c r="A15" s="39" t="s">
        <v>468</v>
      </c>
      <c r="B15" s="61">
        <v>250</v>
      </c>
      <c r="C15" s="61">
        <v>500</v>
      </c>
      <c r="D15" s="61">
        <f>15*40.3</f>
        <v>604.5</v>
      </c>
      <c r="E15" s="61">
        <f>40.3*15</f>
        <v>604.5</v>
      </c>
      <c r="F15" s="729">
        <f>42*15</f>
        <v>630</v>
      </c>
      <c r="G15" s="729">
        <f>50*15</f>
        <v>750</v>
      </c>
      <c r="H15" s="729">
        <f>50*15</f>
        <v>750</v>
      </c>
      <c r="I15" s="729">
        <f>90*10</f>
        <v>900</v>
      </c>
    </row>
    <row r="16" spans="1:9" x14ac:dyDescent="0.3">
      <c r="A16" s="52" t="s">
        <v>469</v>
      </c>
      <c r="B16" s="62">
        <v>800</v>
      </c>
      <c r="C16" s="53"/>
      <c r="D16" s="53"/>
      <c r="E16" s="53"/>
      <c r="F16" s="728">
        <v>0</v>
      </c>
      <c r="G16" s="728">
        <v>2000</v>
      </c>
      <c r="H16" s="728">
        <v>2000</v>
      </c>
      <c r="I16" s="728">
        <v>2000</v>
      </c>
    </row>
    <row r="17" spans="1:9" x14ac:dyDescent="0.3">
      <c r="A17" s="39" t="s">
        <v>470</v>
      </c>
      <c r="B17" s="61">
        <v>2000</v>
      </c>
      <c r="C17" s="61">
        <v>2000</v>
      </c>
      <c r="D17" s="61">
        <f>15*101.25</f>
        <v>1518.75</v>
      </c>
      <c r="E17" s="61">
        <f>239*10</f>
        <v>2390</v>
      </c>
      <c r="F17" s="729">
        <f>245*10</f>
        <v>2450</v>
      </c>
      <c r="G17" s="729">
        <f>250*10</f>
        <v>2500</v>
      </c>
      <c r="H17" s="729">
        <f>250*15</f>
        <v>3750</v>
      </c>
      <c r="I17" s="729">
        <v>0</v>
      </c>
    </row>
    <row r="18" spans="1:9" x14ac:dyDescent="0.3">
      <c r="A18" s="52" t="s">
        <v>471</v>
      </c>
      <c r="B18" s="62">
        <v>300</v>
      </c>
      <c r="C18" s="53">
        <v>500</v>
      </c>
      <c r="D18" s="53">
        <v>500</v>
      </c>
      <c r="E18" s="53">
        <v>800</v>
      </c>
      <c r="F18" s="728">
        <v>800</v>
      </c>
      <c r="G18" s="728">
        <v>800</v>
      </c>
      <c r="H18" s="728">
        <v>800</v>
      </c>
      <c r="I18" s="728">
        <v>1000</v>
      </c>
    </row>
    <row r="19" spans="1:9" x14ac:dyDescent="0.3">
      <c r="A19" s="39" t="s">
        <v>472</v>
      </c>
      <c r="B19" s="61">
        <v>2000</v>
      </c>
      <c r="C19" s="61">
        <v>2000</v>
      </c>
      <c r="D19" s="61">
        <f>15*106.3</f>
        <v>1594.5</v>
      </c>
      <c r="E19" s="61">
        <f>216*10</f>
        <v>2160</v>
      </c>
      <c r="F19" s="729">
        <f>216*10</f>
        <v>2160</v>
      </c>
      <c r="G19" s="729">
        <f>220*10</f>
        <v>2200</v>
      </c>
      <c r="H19" s="729">
        <f>220*15</f>
        <v>3300</v>
      </c>
      <c r="I19" s="729">
        <v>0</v>
      </c>
    </row>
    <row r="20" spans="1:9" x14ac:dyDescent="0.3">
      <c r="A20" s="52" t="s">
        <v>473</v>
      </c>
      <c r="B20" s="53">
        <v>200</v>
      </c>
      <c r="C20" s="53">
        <v>500</v>
      </c>
      <c r="D20" s="53">
        <v>500</v>
      </c>
      <c r="E20" s="53">
        <v>500</v>
      </c>
      <c r="F20" s="728">
        <v>400</v>
      </c>
      <c r="G20" s="728">
        <f>85*24</f>
        <v>2040</v>
      </c>
      <c r="H20" s="728">
        <f>85*12</f>
        <v>1020</v>
      </c>
      <c r="I20" s="728">
        <f>85*12</f>
        <v>1020</v>
      </c>
    </row>
    <row r="21" spans="1:9" x14ac:dyDescent="0.3">
      <c r="A21" s="863" t="s">
        <v>591</v>
      </c>
      <c r="B21" s="848"/>
      <c r="C21" s="848"/>
      <c r="D21" s="848"/>
      <c r="E21" s="848"/>
      <c r="F21" s="759">
        <v>1500</v>
      </c>
      <c r="G21" s="759">
        <v>300</v>
      </c>
      <c r="H21" s="759">
        <v>300</v>
      </c>
      <c r="I21" s="759">
        <v>300</v>
      </c>
    </row>
    <row r="22" spans="1:9" hidden="1" x14ac:dyDescent="0.3">
      <c r="A22" s="863" t="s">
        <v>605</v>
      </c>
      <c r="B22" s="848"/>
      <c r="C22" s="848"/>
      <c r="D22" s="848"/>
      <c r="E22" s="848"/>
      <c r="F22" s="759">
        <v>7500</v>
      </c>
      <c r="G22" s="759">
        <v>0</v>
      </c>
      <c r="H22" s="759">
        <v>0</v>
      </c>
      <c r="I22" s="759">
        <v>0</v>
      </c>
    </row>
    <row r="23" spans="1:9" x14ac:dyDescent="0.3">
      <c r="A23" s="213" t="s">
        <v>672</v>
      </c>
      <c r="B23" s="864"/>
      <c r="C23" s="452"/>
      <c r="D23" s="452"/>
      <c r="E23" s="452"/>
      <c r="F23" s="667">
        <v>0</v>
      </c>
      <c r="G23" s="667">
        <v>0</v>
      </c>
      <c r="H23" s="667">
        <f>(270*29)+(270*29)+(290*2)+(185*2)</f>
        <v>16610</v>
      </c>
      <c r="I23" s="667">
        <f>(290*5)+(290*5)+(195*2)</f>
        <v>3290</v>
      </c>
    </row>
    <row r="24" spans="1:9" x14ac:dyDescent="0.3">
      <c r="A24" s="842" t="s">
        <v>173</v>
      </c>
      <c r="B24" s="865">
        <f t="shared" ref="B24:H24" si="0">SUM(B3:B23)</f>
        <v>37450</v>
      </c>
      <c r="C24" s="866">
        <f t="shared" si="0"/>
        <v>31900</v>
      </c>
      <c r="D24" s="867">
        <f t="shared" si="0"/>
        <v>34917.75</v>
      </c>
      <c r="E24" s="867">
        <f t="shared" si="0"/>
        <v>38575.300000000003</v>
      </c>
      <c r="F24" s="868">
        <f t="shared" si="0"/>
        <v>48390</v>
      </c>
      <c r="G24" s="869">
        <f t="shared" ref="G24" si="1">SUM(G3:G23)</f>
        <v>109740</v>
      </c>
      <c r="H24" s="870">
        <f t="shared" si="0"/>
        <v>59680</v>
      </c>
      <c r="I24" s="870">
        <f t="shared" ref="I24" si="2">SUM(I3:I23)</f>
        <v>44810</v>
      </c>
    </row>
    <row r="25" spans="1:9" ht="18" customHeight="1" x14ac:dyDescent="0.3"/>
    <row r="26" spans="1:9" x14ac:dyDescent="0.3">
      <c r="A26" s="137"/>
    </row>
  </sheetData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20"/>
  <sheetViews>
    <sheetView workbookViewId="0"/>
  </sheetViews>
  <sheetFormatPr defaultRowHeight="18.75" customHeight="1" x14ac:dyDescent="0.3"/>
  <cols>
    <col min="1" max="1" width="44.42578125" style="97" customWidth="1"/>
    <col min="2" max="4" width="10.5703125" style="27" hidden="1" customWidth="1"/>
    <col min="5" max="6" width="10.85546875" style="27" hidden="1" customWidth="1"/>
    <col min="7" max="8" width="10.85546875" style="27" customWidth="1"/>
    <col min="9" max="16384" width="9.140625" style="27"/>
  </cols>
  <sheetData>
    <row r="1" spans="1:10" s="46" customFormat="1" ht="18.95" customHeight="1" x14ac:dyDescent="0.3">
      <c r="A1" s="216" t="s">
        <v>520</v>
      </c>
      <c r="B1" s="190"/>
      <c r="C1" s="190"/>
      <c r="D1" s="190"/>
      <c r="E1" s="206"/>
      <c r="F1" s="206"/>
      <c r="G1" s="206"/>
      <c r="H1" s="206"/>
      <c r="I1" s="206"/>
      <c r="J1" s="27"/>
    </row>
    <row r="2" spans="1:10" ht="18.95" customHeight="1" x14ac:dyDescent="0.3">
      <c r="A2" s="98"/>
      <c r="B2" s="98"/>
      <c r="C2" s="98"/>
      <c r="D2" s="98"/>
      <c r="E2" s="48"/>
      <c r="F2" s="48"/>
      <c r="G2" s="48"/>
      <c r="H2" s="48"/>
      <c r="I2" s="48"/>
    </row>
    <row r="3" spans="1:10" s="46" customFormat="1" ht="18.95" customHeight="1" x14ac:dyDescent="0.3">
      <c r="A3" s="41" t="s">
        <v>124</v>
      </c>
      <c r="B3" s="41">
        <v>2010</v>
      </c>
      <c r="C3" s="99">
        <v>2013</v>
      </c>
      <c r="D3" s="99">
        <v>2014</v>
      </c>
      <c r="E3" s="99">
        <v>2015</v>
      </c>
      <c r="F3" s="99">
        <v>2016</v>
      </c>
      <c r="G3" s="99">
        <v>2017</v>
      </c>
      <c r="H3" s="99">
        <v>2018</v>
      </c>
      <c r="I3" s="99">
        <v>2019</v>
      </c>
      <c r="J3" s="27"/>
    </row>
    <row r="4" spans="1:10" s="123" customFormat="1" ht="18.95" customHeight="1" x14ac:dyDescent="0.3">
      <c r="A4" s="101"/>
      <c r="B4" s="117"/>
      <c r="C4" s="219"/>
      <c r="D4" s="219"/>
      <c r="E4" s="219"/>
      <c r="F4" s="746"/>
      <c r="G4" s="746"/>
      <c r="H4" s="746"/>
      <c r="I4" s="746"/>
      <c r="J4" s="220"/>
    </row>
    <row r="5" spans="1:10" s="46" customFormat="1" ht="18.95" customHeight="1" x14ac:dyDescent="0.3">
      <c r="A5" s="54" t="s">
        <v>3</v>
      </c>
      <c r="B5" s="62">
        <v>200</v>
      </c>
      <c r="C5" s="353">
        <v>900</v>
      </c>
      <c r="D5" s="353">
        <v>800</v>
      </c>
      <c r="E5" s="353">
        <v>800</v>
      </c>
      <c r="F5" s="764">
        <v>800</v>
      </c>
      <c r="G5" s="764">
        <v>1500</v>
      </c>
      <c r="H5" s="764">
        <v>1500</v>
      </c>
      <c r="I5" s="764">
        <v>1500</v>
      </c>
      <c r="J5" s="27"/>
    </row>
    <row r="6" spans="1:10" ht="18.95" customHeight="1" x14ac:dyDescent="0.3">
      <c r="A6" s="54" t="s">
        <v>150</v>
      </c>
      <c r="B6" s="42">
        <v>125</v>
      </c>
      <c r="C6" s="353">
        <v>100</v>
      </c>
      <c r="D6" s="353">
        <v>0</v>
      </c>
      <c r="E6" s="353">
        <v>0</v>
      </c>
      <c r="F6" s="764">
        <v>225</v>
      </c>
      <c r="G6" s="764">
        <v>225</v>
      </c>
      <c r="H6" s="764">
        <v>225</v>
      </c>
      <c r="I6" s="764">
        <v>300</v>
      </c>
    </row>
    <row r="7" spans="1:10" ht="18.95" customHeight="1" x14ac:dyDescent="0.3">
      <c r="A7" s="54" t="s">
        <v>522</v>
      </c>
      <c r="B7" s="62">
        <v>125</v>
      </c>
      <c r="C7" s="64">
        <v>1000</v>
      </c>
      <c r="D7" s="64">
        <v>2500</v>
      </c>
      <c r="E7" s="64">
        <v>2500</v>
      </c>
      <c r="F7" s="765">
        <v>2500</v>
      </c>
      <c r="G7" s="765">
        <v>2500</v>
      </c>
      <c r="H7" s="765">
        <v>2500</v>
      </c>
      <c r="I7" s="765">
        <v>2500</v>
      </c>
    </row>
    <row r="8" spans="1:10" ht="18.95" customHeight="1" x14ac:dyDescent="0.3">
      <c r="A8" s="63" t="s">
        <v>15</v>
      </c>
      <c r="B8" s="197">
        <v>1000</v>
      </c>
      <c r="C8" s="61">
        <v>2500</v>
      </c>
      <c r="D8" s="61">
        <v>1500</v>
      </c>
      <c r="E8" s="61">
        <v>1500</v>
      </c>
      <c r="F8" s="729">
        <v>1000</v>
      </c>
      <c r="G8" s="729">
        <v>3500</v>
      </c>
      <c r="H8" s="729">
        <v>3500</v>
      </c>
      <c r="I8" s="729">
        <v>3500</v>
      </c>
    </row>
    <row r="9" spans="1:10" ht="18.95" customHeight="1" x14ac:dyDescent="0.3">
      <c r="A9" s="462" t="s">
        <v>444</v>
      </c>
      <c r="B9" s="107"/>
      <c r="C9" s="106">
        <v>1200</v>
      </c>
      <c r="D9" s="106">
        <v>1200</v>
      </c>
      <c r="E9" s="106">
        <v>1800</v>
      </c>
      <c r="F9" s="730">
        <v>1500</v>
      </c>
      <c r="G9" s="730">
        <v>3500</v>
      </c>
      <c r="H9" s="730">
        <v>3500</v>
      </c>
      <c r="I9" s="730">
        <v>3500</v>
      </c>
    </row>
    <row r="10" spans="1:10" ht="18.95" customHeight="1" x14ac:dyDescent="0.3">
      <c r="A10" s="462" t="s">
        <v>693</v>
      </c>
      <c r="B10" s="107"/>
      <c r="C10" s="106">
        <v>9327</v>
      </c>
      <c r="D10" s="106">
        <v>10000</v>
      </c>
      <c r="E10" s="106">
        <v>0</v>
      </c>
      <c r="F10" s="730">
        <v>0</v>
      </c>
      <c r="G10" s="730">
        <f>3200*4</f>
        <v>12800</v>
      </c>
      <c r="H10" s="730"/>
      <c r="I10" s="730">
        <f>3500*3</f>
        <v>10500</v>
      </c>
    </row>
    <row r="11" spans="1:10" ht="18.95" customHeight="1" x14ac:dyDescent="0.3">
      <c r="A11" s="458"/>
      <c r="B11" s="107"/>
      <c r="C11" s="106"/>
      <c r="D11" s="106"/>
      <c r="E11" s="106"/>
      <c r="F11" s="730"/>
      <c r="G11" s="730"/>
      <c r="H11" s="730"/>
      <c r="I11" s="730"/>
    </row>
    <row r="12" spans="1:10" ht="18.95" customHeight="1" x14ac:dyDescent="0.3">
      <c r="A12" s="515"/>
      <c r="B12" s="452"/>
      <c r="C12" s="790"/>
      <c r="D12" s="790"/>
      <c r="E12" s="790"/>
      <c r="F12" s="860"/>
      <c r="G12" s="860"/>
      <c r="H12" s="860"/>
      <c r="I12" s="860"/>
    </row>
    <row r="13" spans="1:10" ht="18.95" customHeight="1" x14ac:dyDescent="0.3">
      <c r="A13" s="221" t="s">
        <v>122</v>
      </c>
      <c r="B13" s="861">
        <f>SUM(B4:B12)</f>
        <v>1450</v>
      </c>
      <c r="C13" s="861">
        <f>SUM(C4:C12)</f>
        <v>15027</v>
      </c>
      <c r="D13" s="861">
        <f>SUM(D4:D12)</f>
        <v>16000</v>
      </c>
      <c r="E13" s="861">
        <f>SUM(E5:E12)</f>
        <v>6600</v>
      </c>
      <c r="F13" s="862">
        <f>SUM(F5:F12)</f>
        <v>6025</v>
      </c>
      <c r="G13" s="862">
        <f>SUM(G5:G12)</f>
        <v>24025</v>
      </c>
      <c r="H13" s="862">
        <f>SUM(H5:H12)</f>
        <v>11225</v>
      </c>
      <c r="I13" s="862">
        <f>SUM(I5:I12)</f>
        <v>21800</v>
      </c>
    </row>
    <row r="14" spans="1:10" ht="18.75" customHeight="1" x14ac:dyDescent="0.3">
      <c r="A14" s="111"/>
    </row>
    <row r="15" spans="1:10" ht="18.75" customHeight="1" x14ac:dyDescent="0.3">
      <c r="A15" s="111"/>
    </row>
    <row r="17" spans="1:1" ht="18.75" customHeight="1" x14ac:dyDescent="0.3">
      <c r="A17" s="111"/>
    </row>
    <row r="18" spans="1:1" ht="18.75" customHeight="1" x14ac:dyDescent="0.3">
      <c r="A18" s="111"/>
    </row>
    <row r="19" spans="1:1" ht="18.75" customHeight="1" x14ac:dyDescent="0.3">
      <c r="A19" s="111"/>
    </row>
    <row r="20" spans="1:1" ht="18.75" customHeight="1" x14ac:dyDescent="0.3">
      <c r="A20" s="111"/>
    </row>
  </sheetData>
  <phoneticPr fontId="20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13"/>
  <sheetViews>
    <sheetView workbookViewId="0"/>
  </sheetViews>
  <sheetFormatPr defaultRowHeight="18.75" customHeight="1" x14ac:dyDescent="0.3"/>
  <cols>
    <col min="1" max="1" width="32.5703125" style="97" customWidth="1"/>
    <col min="2" max="4" width="10.7109375" style="27" hidden="1" customWidth="1"/>
    <col min="5" max="6" width="11" style="27" hidden="1" customWidth="1"/>
    <col min="7" max="8" width="11" style="27" customWidth="1"/>
    <col min="9" max="16384" width="9.140625" style="27"/>
  </cols>
  <sheetData>
    <row r="1" spans="1:9" s="46" customFormat="1" ht="18.75" customHeight="1" x14ac:dyDescent="0.3">
      <c r="A1" s="216" t="s">
        <v>523</v>
      </c>
      <c r="B1" s="190"/>
      <c r="C1" s="190"/>
      <c r="D1" s="190"/>
      <c r="E1" s="218"/>
      <c r="F1" s="218"/>
      <c r="G1" s="218"/>
      <c r="H1" s="218"/>
      <c r="I1" s="218"/>
    </row>
    <row r="2" spans="1:9" ht="18.75" customHeight="1" x14ac:dyDescent="0.3">
      <c r="A2" s="98"/>
      <c r="B2" s="98"/>
      <c r="C2" s="98"/>
      <c r="D2" s="98"/>
      <c r="E2" s="49"/>
      <c r="F2" s="49"/>
      <c r="G2" s="49"/>
      <c r="H2" s="49"/>
      <c r="I2" s="49"/>
    </row>
    <row r="3" spans="1:9" s="46" customFormat="1" ht="18.75" customHeight="1" x14ac:dyDescent="0.3">
      <c r="A3" s="41" t="s">
        <v>124</v>
      </c>
      <c r="B3" s="41">
        <v>2010</v>
      </c>
      <c r="C3" s="99">
        <v>2013</v>
      </c>
      <c r="D3" s="99">
        <v>2014</v>
      </c>
      <c r="E3" s="99">
        <v>2015</v>
      </c>
      <c r="F3" s="99">
        <v>2016</v>
      </c>
      <c r="G3" s="99">
        <v>2017</v>
      </c>
      <c r="H3" s="99">
        <v>2018</v>
      </c>
      <c r="I3" s="99">
        <v>2019</v>
      </c>
    </row>
    <row r="4" spans="1:9" s="123" customFormat="1" ht="18.75" customHeight="1" x14ac:dyDescent="0.3">
      <c r="A4" s="101"/>
      <c r="B4" s="101"/>
      <c r="C4" s="222"/>
      <c r="D4" s="222"/>
      <c r="E4" s="222"/>
      <c r="F4" s="747"/>
      <c r="G4" s="747"/>
      <c r="H4" s="747"/>
      <c r="I4" s="747"/>
    </row>
    <row r="5" spans="1:9" s="46" customFormat="1" ht="18.75" customHeight="1" x14ac:dyDescent="0.3">
      <c r="A5" s="38" t="s">
        <v>191</v>
      </c>
      <c r="B5" s="42">
        <v>400</v>
      </c>
      <c r="C5" s="36">
        <v>400</v>
      </c>
      <c r="D5" s="36">
        <v>400</v>
      </c>
      <c r="E5" s="36">
        <v>400</v>
      </c>
      <c r="F5" s="733">
        <v>500</v>
      </c>
      <c r="G5" s="733">
        <v>500</v>
      </c>
      <c r="H5" s="733">
        <v>500</v>
      </c>
      <c r="I5" s="733">
        <v>600</v>
      </c>
    </row>
    <row r="6" spans="1:9" s="46" customFormat="1" ht="18.75" hidden="1" customHeight="1" x14ac:dyDescent="0.3">
      <c r="A6" s="993" t="s">
        <v>202</v>
      </c>
      <c r="B6" s="42">
        <v>200</v>
      </c>
      <c r="C6" s="36"/>
      <c r="D6" s="36"/>
      <c r="E6" s="36"/>
      <c r="F6" s="733"/>
      <c r="G6" s="733"/>
      <c r="H6" s="733"/>
      <c r="I6" s="733"/>
    </row>
    <row r="7" spans="1:9" s="46" customFormat="1" ht="18.75" customHeight="1" x14ac:dyDescent="0.3">
      <c r="A7" s="842" t="s">
        <v>14</v>
      </c>
      <c r="B7" s="42">
        <v>200</v>
      </c>
      <c r="C7" s="62">
        <v>100</v>
      </c>
      <c r="D7" s="62">
        <v>100</v>
      </c>
      <c r="E7" s="62">
        <v>100</v>
      </c>
      <c r="F7" s="665">
        <v>150</v>
      </c>
      <c r="G7" s="665">
        <v>300</v>
      </c>
      <c r="H7" s="665">
        <v>300</v>
      </c>
      <c r="I7" s="665">
        <v>1800</v>
      </c>
    </row>
    <row r="8" spans="1:9" ht="18.75" customHeight="1" x14ac:dyDescent="0.3">
      <c r="A8" s="994"/>
      <c r="B8" s="54"/>
      <c r="C8" s="36"/>
      <c r="D8" s="36"/>
      <c r="E8" s="36"/>
      <c r="F8" s="733"/>
      <c r="G8" s="733"/>
      <c r="H8" s="733"/>
      <c r="I8" s="733"/>
    </row>
    <row r="9" spans="1:9" ht="18.75" customHeight="1" thickBot="1" x14ac:dyDescent="0.35">
      <c r="A9" s="55"/>
      <c r="B9" s="204"/>
      <c r="C9" s="256"/>
      <c r="D9" s="256"/>
      <c r="E9" s="256"/>
      <c r="F9" s="748"/>
      <c r="G9" s="748"/>
      <c r="H9" s="748"/>
      <c r="I9" s="748"/>
    </row>
    <row r="10" spans="1:9" ht="18.75" customHeight="1" thickTop="1" x14ac:dyDescent="0.3">
      <c r="A10" s="103" t="s">
        <v>122</v>
      </c>
      <c r="B10" s="44">
        <f t="shared" ref="B10:H10" si="0">SUM(B4:B9)</f>
        <v>800</v>
      </c>
      <c r="C10" s="44">
        <f t="shared" si="0"/>
        <v>500</v>
      </c>
      <c r="D10" s="223">
        <f t="shared" si="0"/>
        <v>500</v>
      </c>
      <c r="E10" s="223">
        <f t="shared" si="0"/>
        <v>500</v>
      </c>
      <c r="F10" s="749">
        <f t="shared" si="0"/>
        <v>650</v>
      </c>
      <c r="G10" s="749">
        <f t="shared" ref="G10" si="1">SUM(G4:G9)</f>
        <v>800</v>
      </c>
      <c r="H10" s="749">
        <f t="shared" si="0"/>
        <v>800</v>
      </c>
      <c r="I10" s="749">
        <f t="shared" ref="I10" si="2">SUM(I4:I9)</f>
        <v>2400</v>
      </c>
    </row>
    <row r="11" spans="1:9" ht="18.75" customHeight="1" x14ac:dyDescent="0.3">
      <c r="A11" s="111"/>
    </row>
    <row r="12" spans="1:9" s="46" customFormat="1" ht="18.75" customHeight="1" x14ac:dyDescent="0.3">
      <c r="A12" s="111"/>
    </row>
    <row r="13" spans="1:9" ht="18.75" customHeight="1" x14ac:dyDescent="0.3">
      <c r="A13" s="111"/>
    </row>
  </sheetData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R46"/>
  <sheetViews>
    <sheetView workbookViewId="0"/>
  </sheetViews>
  <sheetFormatPr defaultRowHeight="18.75" customHeight="1" x14ac:dyDescent="0.2"/>
  <cols>
    <col min="1" max="1" width="30.85546875" style="14" customWidth="1"/>
    <col min="2" max="4" width="11.7109375" style="96" hidden="1" customWidth="1"/>
    <col min="5" max="6" width="11.28515625" style="96" hidden="1" customWidth="1"/>
    <col min="7" max="8" width="11.28515625" style="96" customWidth="1"/>
    <col min="9" max="16384" width="9.140625" style="96"/>
  </cols>
  <sheetData>
    <row r="1" spans="1:18" s="182" customFormat="1" ht="18.75" customHeight="1" x14ac:dyDescent="0.3">
      <c r="A1" s="216" t="s">
        <v>226</v>
      </c>
      <c r="B1" s="190"/>
      <c r="C1" s="190"/>
      <c r="D1" s="190"/>
      <c r="E1" s="206"/>
      <c r="F1" s="206"/>
      <c r="G1" s="206"/>
      <c r="H1" s="206"/>
      <c r="I1" s="206"/>
      <c r="J1" s="186"/>
      <c r="K1" s="186"/>
      <c r="L1" s="186"/>
      <c r="M1" s="186"/>
      <c r="N1" s="186"/>
      <c r="O1" s="186"/>
      <c r="P1" s="186"/>
      <c r="Q1" s="186"/>
      <c r="R1" s="186"/>
    </row>
    <row r="2" spans="1:18" ht="18.75" customHeight="1" x14ac:dyDescent="0.3">
      <c r="A2" s="98"/>
      <c r="B2" s="98"/>
      <c r="C2" s="98"/>
      <c r="D2" s="98"/>
      <c r="E2" s="48"/>
      <c r="F2" s="48"/>
      <c r="G2" s="48"/>
      <c r="H2" s="48"/>
      <c r="I2" s="48"/>
      <c r="J2" s="186"/>
      <c r="K2" s="186"/>
      <c r="L2" s="186"/>
      <c r="M2" s="186"/>
      <c r="N2" s="186"/>
      <c r="O2" s="186"/>
      <c r="P2" s="186"/>
      <c r="Q2" s="186"/>
      <c r="R2" s="186"/>
    </row>
    <row r="3" spans="1:18" s="182" customFormat="1" ht="18.75" customHeight="1" x14ac:dyDescent="0.3">
      <c r="A3" s="41" t="s">
        <v>124</v>
      </c>
      <c r="B3" s="41">
        <v>2010</v>
      </c>
      <c r="C3" s="99">
        <v>2013</v>
      </c>
      <c r="D3" s="99">
        <v>2014</v>
      </c>
      <c r="E3" s="99">
        <v>2015</v>
      </c>
      <c r="F3" s="99">
        <v>2016</v>
      </c>
      <c r="G3" s="99">
        <v>2017</v>
      </c>
      <c r="H3" s="99">
        <v>2018</v>
      </c>
      <c r="I3" s="99">
        <v>2019</v>
      </c>
      <c r="J3" s="186"/>
      <c r="K3" s="186"/>
      <c r="L3" s="186"/>
      <c r="M3" s="186"/>
      <c r="N3" s="186"/>
      <c r="O3" s="186"/>
      <c r="P3" s="186"/>
      <c r="Q3" s="186"/>
      <c r="R3" s="186"/>
    </row>
    <row r="4" spans="1:18" s="183" customFormat="1" ht="18.75" customHeight="1" x14ac:dyDescent="0.3">
      <c r="A4" s="101"/>
      <c r="B4" s="101"/>
      <c r="C4" s="858"/>
      <c r="D4" s="858"/>
      <c r="E4" s="858"/>
      <c r="F4" s="727"/>
      <c r="G4" s="727"/>
      <c r="H4" s="727"/>
      <c r="I4" s="727"/>
      <c r="J4" s="186"/>
      <c r="K4" s="186"/>
      <c r="L4" s="186"/>
      <c r="M4" s="186"/>
      <c r="N4" s="186"/>
      <c r="O4" s="186"/>
      <c r="P4" s="186"/>
      <c r="Q4" s="186"/>
      <c r="R4" s="186"/>
    </row>
    <row r="5" spans="1:18" ht="18.75" customHeight="1" x14ac:dyDescent="0.3">
      <c r="A5" s="54" t="s">
        <v>489</v>
      </c>
      <c r="B5" s="42">
        <v>21000</v>
      </c>
      <c r="C5" s="62">
        <v>21000</v>
      </c>
      <c r="D5" s="62">
        <f>18963</f>
        <v>18963</v>
      </c>
      <c r="E5" s="62">
        <v>19600</v>
      </c>
      <c r="F5" s="666">
        <v>19086</v>
      </c>
      <c r="G5" s="666">
        <v>19500</v>
      </c>
      <c r="H5" s="666">
        <v>20900</v>
      </c>
      <c r="I5" s="666">
        <v>22000</v>
      </c>
      <c r="J5" s="186"/>
      <c r="K5" s="186"/>
      <c r="L5" s="186"/>
      <c r="M5" s="186"/>
      <c r="N5" s="186"/>
      <c r="O5" s="186"/>
      <c r="P5" s="186"/>
      <c r="Q5" s="186"/>
      <c r="R5" s="186"/>
    </row>
    <row r="6" spans="1:18" ht="18.75" customHeight="1" x14ac:dyDescent="0.3">
      <c r="A6" s="288"/>
      <c r="B6" s="43"/>
      <c r="C6" s="107"/>
      <c r="D6" s="107"/>
      <c r="E6" s="107"/>
      <c r="F6" s="755"/>
      <c r="G6" s="755"/>
      <c r="H6" s="755"/>
      <c r="I6" s="755"/>
      <c r="J6" s="186"/>
      <c r="K6" s="186"/>
      <c r="L6" s="186"/>
      <c r="M6" s="186"/>
      <c r="N6" s="186"/>
      <c r="O6" s="186"/>
      <c r="P6" s="186"/>
      <c r="Q6" s="186"/>
      <c r="R6" s="186"/>
    </row>
    <row r="7" spans="1:18" ht="18.75" customHeight="1" thickBot="1" x14ac:dyDescent="0.35">
      <c r="A7" s="288"/>
      <c r="B7" s="43">
        <v>-1327</v>
      </c>
      <c r="C7" s="107"/>
      <c r="D7" s="107"/>
      <c r="E7" s="107"/>
      <c r="F7" s="755"/>
      <c r="G7" s="755"/>
      <c r="H7" s="755"/>
      <c r="I7" s="755"/>
      <c r="J7" s="186"/>
      <c r="K7" s="186"/>
      <c r="L7" s="186"/>
      <c r="M7" s="186"/>
      <c r="N7" s="186"/>
      <c r="O7" s="186"/>
      <c r="P7" s="186"/>
      <c r="Q7" s="186"/>
      <c r="R7" s="186"/>
    </row>
    <row r="8" spans="1:18" ht="18.75" customHeight="1" thickTop="1" x14ac:dyDescent="0.3">
      <c r="A8" s="113" t="s">
        <v>122</v>
      </c>
      <c r="B8" s="859">
        <f t="shared" ref="B8:D8" si="0">SUM(B4:B7)</f>
        <v>19673</v>
      </c>
      <c r="C8" s="112">
        <f t="shared" si="0"/>
        <v>21000</v>
      </c>
      <c r="D8" s="112">
        <f t="shared" si="0"/>
        <v>18963</v>
      </c>
      <c r="E8" s="112">
        <f>SUM(E4:E7)</f>
        <v>19600</v>
      </c>
      <c r="F8" s="756">
        <f>SUM(F4:F7)</f>
        <v>19086</v>
      </c>
      <c r="G8" s="756">
        <f>SUM(G4:G7)</f>
        <v>19500</v>
      </c>
      <c r="H8" s="756">
        <f>SUM(H4:H7)</f>
        <v>20900</v>
      </c>
      <c r="I8" s="756">
        <f>SUM(I4:I7)</f>
        <v>22000</v>
      </c>
      <c r="J8" s="186"/>
      <c r="K8" s="186"/>
      <c r="L8" s="186"/>
      <c r="M8" s="186"/>
      <c r="N8" s="186"/>
      <c r="O8" s="186"/>
      <c r="P8" s="186"/>
      <c r="Q8" s="186"/>
      <c r="R8" s="186"/>
    </row>
    <row r="9" spans="1:18" ht="18.75" customHeight="1" x14ac:dyDescent="0.3">
      <c r="A9" s="111"/>
      <c r="B9" s="129"/>
      <c r="D9" s="186"/>
      <c r="E9" s="186"/>
      <c r="F9" s="186"/>
      <c r="G9" s="186"/>
      <c r="H9" s="186"/>
      <c r="I9" s="186"/>
      <c r="J9" s="186"/>
      <c r="K9" s="186"/>
      <c r="L9" s="186"/>
      <c r="M9" s="186"/>
      <c r="N9" s="186"/>
      <c r="O9" s="186"/>
      <c r="P9" s="186"/>
      <c r="Q9" s="186"/>
      <c r="R9" s="186"/>
    </row>
    <row r="10" spans="1:18" ht="18.75" customHeight="1" x14ac:dyDescent="0.3">
      <c r="A10" s="111"/>
      <c r="B10" s="27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6"/>
      <c r="P10" s="186"/>
      <c r="Q10" s="186"/>
      <c r="R10" s="186"/>
    </row>
    <row r="11" spans="1:18" ht="18.75" customHeight="1" x14ac:dyDescent="0.2">
      <c r="A11" s="186"/>
      <c r="D11" s="186"/>
      <c r="E11" s="186"/>
      <c r="F11" s="186"/>
      <c r="G11" s="186"/>
      <c r="H11" s="186"/>
      <c r="I11" s="186"/>
      <c r="J11" s="186"/>
      <c r="K11" s="186"/>
      <c r="L11" s="186"/>
      <c r="M11" s="186"/>
      <c r="N11" s="186"/>
      <c r="O11" s="186"/>
      <c r="P11" s="186"/>
      <c r="Q11" s="186"/>
      <c r="R11" s="186"/>
    </row>
    <row r="12" spans="1:18" ht="18.75" customHeight="1" x14ac:dyDescent="0.2">
      <c r="A12" s="186"/>
      <c r="D12" s="186"/>
      <c r="E12" s="186"/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</row>
    <row r="13" spans="1:18" ht="18.75" customHeight="1" x14ac:dyDescent="0.2">
      <c r="A13" s="186"/>
      <c r="B13" s="186"/>
      <c r="C13" s="186"/>
      <c r="D13" s="186"/>
      <c r="E13" s="186"/>
      <c r="F13" s="186"/>
      <c r="G13" s="186"/>
      <c r="H13" s="186"/>
      <c r="I13" s="186"/>
      <c r="J13" s="186"/>
      <c r="K13" s="186"/>
      <c r="L13" s="186"/>
      <c r="M13" s="186"/>
      <c r="N13" s="186"/>
      <c r="O13" s="186"/>
      <c r="P13" s="186"/>
      <c r="Q13" s="186"/>
      <c r="R13" s="186"/>
    </row>
    <row r="14" spans="1:18" ht="18.75" customHeight="1" x14ac:dyDescent="0.2">
      <c r="A14" s="186"/>
      <c r="B14" s="186"/>
      <c r="C14" s="186"/>
      <c r="D14" s="186"/>
      <c r="E14" s="186"/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86"/>
      <c r="Q14" s="186"/>
      <c r="R14" s="186"/>
    </row>
    <row r="15" spans="1:18" ht="18.75" customHeight="1" x14ac:dyDescent="0.2">
      <c r="A15" s="186"/>
      <c r="B15" s="186"/>
      <c r="C15" s="186"/>
      <c r="D15" s="186"/>
      <c r="E15" s="186"/>
      <c r="F15" s="186"/>
      <c r="G15" s="186"/>
      <c r="H15" s="186"/>
      <c r="I15" s="186"/>
      <c r="J15" s="186"/>
      <c r="K15" s="186"/>
      <c r="L15" s="186"/>
      <c r="M15" s="186"/>
      <c r="N15" s="186"/>
      <c r="O15" s="186"/>
      <c r="P15" s="186"/>
      <c r="Q15" s="186"/>
      <c r="R15" s="186"/>
    </row>
    <row r="16" spans="1:18" ht="18.75" customHeight="1" x14ac:dyDescent="0.2">
      <c r="A16" s="186"/>
      <c r="B16" s="186"/>
      <c r="C16" s="186"/>
      <c r="D16" s="186"/>
    </row>
    <row r="17" spans="1:4" ht="18.75" customHeight="1" x14ac:dyDescent="0.2">
      <c r="A17" s="186"/>
      <c r="B17" s="186"/>
      <c r="C17" s="186"/>
      <c r="D17" s="186"/>
    </row>
    <row r="18" spans="1:4" ht="18.75" customHeight="1" x14ac:dyDescent="0.2">
      <c r="A18" s="186"/>
      <c r="B18" s="186"/>
      <c r="C18" s="186"/>
      <c r="D18" s="186"/>
    </row>
    <row r="19" spans="1:4" ht="18.75" customHeight="1" x14ac:dyDescent="0.2">
      <c r="A19" s="186"/>
      <c r="B19" s="186"/>
      <c r="C19" s="186"/>
      <c r="D19" s="186"/>
    </row>
    <row r="20" spans="1:4" ht="18.75" customHeight="1" x14ac:dyDescent="0.2">
      <c r="A20" s="186"/>
      <c r="B20" s="186"/>
      <c r="C20" s="186"/>
      <c r="D20" s="186"/>
    </row>
    <row r="21" spans="1:4" ht="18.75" customHeight="1" x14ac:dyDescent="0.2">
      <c r="A21" s="186"/>
      <c r="B21" s="186"/>
      <c r="C21" s="186"/>
      <c r="D21" s="186"/>
    </row>
    <row r="22" spans="1:4" ht="18.75" customHeight="1" x14ac:dyDescent="0.2">
      <c r="A22" s="186"/>
      <c r="B22" s="186"/>
      <c r="C22" s="186"/>
      <c r="D22" s="186"/>
    </row>
    <row r="23" spans="1:4" ht="18.75" customHeight="1" x14ac:dyDescent="0.2">
      <c r="A23" s="186"/>
      <c r="B23" s="186"/>
      <c r="C23" s="186"/>
      <c r="D23" s="186"/>
    </row>
    <row r="24" spans="1:4" ht="18.75" customHeight="1" x14ac:dyDescent="0.2">
      <c r="A24" s="186"/>
      <c r="B24" s="186"/>
      <c r="C24" s="186"/>
      <c r="D24" s="186"/>
    </row>
    <row r="25" spans="1:4" ht="18.75" customHeight="1" x14ac:dyDescent="0.2">
      <c r="A25" s="186"/>
      <c r="B25" s="186"/>
      <c r="C25" s="186"/>
      <c r="D25" s="186"/>
    </row>
    <row r="26" spans="1:4" ht="18.75" customHeight="1" x14ac:dyDescent="0.2">
      <c r="A26" s="186"/>
      <c r="B26" s="186"/>
      <c r="C26" s="186"/>
      <c r="D26" s="186"/>
    </row>
    <row r="27" spans="1:4" ht="18.75" customHeight="1" x14ac:dyDescent="0.2">
      <c r="A27" s="186"/>
      <c r="B27" s="186"/>
      <c r="C27" s="186"/>
      <c r="D27" s="186"/>
    </row>
    <row r="28" spans="1:4" ht="18.75" customHeight="1" x14ac:dyDescent="0.2">
      <c r="A28" s="186"/>
      <c r="B28" s="186"/>
      <c r="C28" s="186"/>
      <c r="D28" s="186"/>
    </row>
    <row r="29" spans="1:4" ht="18.75" customHeight="1" x14ac:dyDescent="0.2">
      <c r="A29" s="186"/>
      <c r="B29" s="186"/>
      <c r="C29" s="186"/>
      <c r="D29" s="186"/>
    </row>
    <row r="30" spans="1:4" ht="18.75" customHeight="1" x14ac:dyDescent="0.2">
      <c r="A30" s="186"/>
      <c r="B30" s="186"/>
      <c r="C30" s="186"/>
      <c r="D30" s="186"/>
    </row>
    <row r="31" spans="1:4" ht="18.75" customHeight="1" x14ac:dyDescent="0.2">
      <c r="A31" s="186"/>
      <c r="B31" s="186"/>
      <c r="C31" s="186"/>
      <c r="D31" s="186"/>
    </row>
    <row r="32" spans="1:4" ht="18.75" customHeight="1" x14ac:dyDescent="0.2">
      <c r="A32" s="186"/>
      <c r="B32" s="186"/>
      <c r="C32" s="186"/>
      <c r="D32" s="186"/>
    </row>
    <row r="33" spans="1:4" ht="18.75" customHeight="1" x14ac:dyDescent="0.2">
      <c r="A33" s="186"/>
      <c r="B33" s="186"/>
      <c r="C33" s="186"/>
      <c r="D33" s="186"/>
    </row>
    <row r="34" spans="1:4" ht="18.75" customHeight="1" x14ac:dyDescent="0.2">
      <c r="A34" s="186"/>
      <c r="B34" s="186"/>
      <c r="C34" s="186"/>
      <c r="D34" s="186"/>
    </row>
    <row r="35" spans="1:4" ht="18.75" customHeight="1" x14ac:dyDescent="0.2">
      <c r="A35" s="186"/>
      <c r="B35" s="186"/>
      <c r="C35" s="186"/>
      <c r="D35" s="186"/>
    </row>
    <row r="36" spans="1:4" ht="18.75" customHeight="1" x14ac:dyDescent="0.2">
      <c r="A36" s="186"/>
      <c r="B36" s="186"/>
      <c r="C36" s="186"/>
      <c r="D36" s="186"/>
    </row>
    <row r="37" spans="1:4" ht="18.75" customHeight="1" x14ac:dyDescent="0.2">
      <c r="A37" s="186"/>
      <c r="B37" s="186"/>
      <c r="C37" s="186"/>
      <c r="D37" s="186"/>
    </row>
    <row r="38" spans="1:4" ht="18.75" customHeight="1" x14ac:dyDescent="0.2">
      <c r="A38" s="186"/>
      <c r="B38" s="186"/>
      <c r="C38" s="186"/>
      <c r="D38" s="186"/>
    </row>
    <row r="39" spans="1:4" ht="18.75" customHeight="1" x14ac:dyDescent="0.2">
      <c r="A39" s="186"/>
      <c r="B39" s="186"/>
      <c r="C39" s="186"/>
      <c r="D39" s="186"/>
    </row>
    <row r="40" spans="1:4" ht="18.75" customHeight="1" x14ac:dyDescent="0.2">
      <c r="A40" s="186"/>
      <c r="B40" s="186"/>
      <c r="C40" s="186"/>
      <c r="D40" s="186"/>
    </row>
    <row r="41" spans="1:4" ht="18.75" customHeight="1" x14ac:dyDescent="0.2">
      <c r="A41" s="186"/>
      <c r="B41" s="186"/>
      <c r="C41" s="186"/>
      <c r="D41" s="186"/>
    </row>
    <row r="42" spans="1:4" ht="18.75" customHeight="1" x14ac:dyDescent="0.2">
      <c r="A42" s="186"/>
      <c r="B42" s="186"/>
      <c r="C42" s="186"/>
      <c r="D42" s="186"/>
    </row>
    <row r="43" spans="1:4" ht="18.75" customHeight="1" x14ac:dyDescent="0.2">
      <c r="A43" s="186"/>
      <c r="B43" s="186"/>
      <c r="C43" s="186"/>
      <c r="D43" s="186"/>
    </row>
    <row r="44" spans="1:4" ht="18.75" customHeight="1" x14ac:dyDescent="0.2">
      <c r="A44" s="186"/>
      <c r="B44" s="186"/>
      <c r="C44" s="186"/>
      <c r="D44" s="186"/>
    </row>
    <row r="45" spans="1:4" ht="18.75" customHeight="1" x14ac:dyDescent="0.2">
      <c r="A45" s="186"/>
      <c r="B45" s="186"/>
      <c r="C45" s="186"/>
      <c r="D45" s="186"/>
    </row>
    <row r="46" spans="1:4" ht="18.75" customHeight="1" x14ac:dyDescent="0.2">
      <c r="A46" s="186"/>
      <c r="B46" s="186"/>
      <c r="C46" s="186"/>
      <c r="D46" s="186"/>
    </row>
  </sheetData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36"/>
  <sheetViews>
    <sheetView zoomScaleNormal="100" workbookViewId="0">
      <pane ySplit="2" topLeftCell="A3" activePane="bottomLeft" state="frozen"/>
      <selection pane="bottomLeft"/>
    </sheetView>
  </sheetViews>
  <sheetFormatPr defaultColWidth="8.85546875" defaultRowHeight="16.5" x14ac:dyDescent="0.2"/>
  <cols>
    <col min="1" max="1" width="44.140625" style="229" bestFit="1" customWidth="1"/>
    <col min="2" max="2" width="11.5703125" style="229" hidden="1" customWidth="1"/>
    <col min="3" max="4" width="10.7109375" style="229" hidden="1" customWidth="1"/>
    <col min="5" max="6" width="12.7109375" style="229" hidden="1" customWidth="1"/>
    <col min="7" max="8" width="12.7109375" style="229" customWidth="1"/>
    <col min="9" max="9" width="12.5703125" style="229" bestFit="1" customWidth="1"/>
    <col min="10" max="16384" width="8.85546875" style="229"/>
  </cols>
  <sheetData>
    <row r="1" spans="1:9" s="225" customFormat="1" ht="22.5" customHeight="1" x14ac:dyDescent="0.2">
      <c r="A1" s="662" t="s">
        <v>538</v>
      </c>
      <c r="B1" s="224"/>
      <c r="C1" s="224"/>
      <c r="D1" s="224"/>
      <c r="E1" s="224"/>
      <c r="F1" s="224"/>
      <c r="G1" s="224"/>
      <c r="H1" s="224"/>
      <c r="I1" s="224"/>
    </row>
    <row r="2" spans="1:9" s="227" customFormat="1" ht="25.5" customHeight="1" x14ac:dyDescent="0.2">
      <c r="A2" s="226"/>
      <c r="B2" s="423">
        <v>2010</v>
      </c>
      <c r="C2" s="423">
        <v>2013</v>
      </c>
      <c r="D2" s="639">
        <v>2014</v>
      </c>
      <c r="E2" s="639">
        <v>2015</v>
      </c>
      <c r="F2" s="639">
        <v>2016</v>
      </c>
      <c r="G2" s="639">
        <v>2017</v>
      </c>
      <c r="H2" s="639">
        <v>2018</v>
      </c>
      <c r="I2" s="639">
        <v>2019</v>
      </c>
    </row>
    <row r="3" spans="1:9" s="228" customFormat="1" x14ac:dyDescent="0.2">
      <c r="A3" s="479" t="s">
        <v>124</v>
      </c>
      <c r="B3" s="480"/>
      <c r="C3" s="480"/>
      <c r="D3" s="481"/>
      <c r="E3" s="481"/>
      <c r="F3" s="481"/>
      <c r="G3" s="481"/>
      <c r="H3" s="481"/>
      <c r="I3" s="481"/>
    </row>
    <row r="4" spans="1:9" hidden="1" x14ac:dyDescent="0.2">
      <c r="A4" s="482" t="s">
        <v>218</v>
      </c>
      <c r="B4" s="483">
        <v>300</v>
      </c>
      <c r="C4" s="484">
        <v>275</v>
      </c>
      <c r="D4" s="484">
        <v>600</v>
      </c>
      <c r="E4" s="484" t="s">
        <v>537</v>
      </c>
      <c r="F4" s="484" t="s">
        <v>537</v>
      </c>
      <c r="G4" s="484" t="s">
        <v>537</v>
      </c>
      <c r="H4" s="484" t="s">
        <v>537</v>
      </c>
      <c r="I4" s="484" t="s">
        <v>537</v>
      </c>
    </row>
    <row r="5" spans="1:9" hidden="1" x14ac:dyDescent="0.2">
      <c r="A5" s="482" t="s">
        <v>219</v>
      </c>
      <c r="B5" s="483">
        <v>250</v>
      </c>
      <c r="C5" s="484">
        <v>500</v>
      </c>
      <c r="D5" s="484">
        <v>800</v>
      </c>
      <c r="E5" s="484" t="s">
        <v>537</v>
      </c>
      <c r="F5" s="484" t="s">
        <v>537</v>
      </c>
      <c r="G5" s="484" t="s">
        <v>537</v>
      </c>
      <c r="H5" s="484" t="s">
        <v>537</v>
      </c>
      <c r="I5" s="484" t="s">
        <v>537</v>
      </c>
    </row>
    <row r="6" spans="1:9" x14ac:dyDescent="0.2">
      <c r="A6" s="482" t="s">
        <v>299</v>
      </c>
      <c r="B6" s="483">
        <v>1000</v>
      </c>
      <c r="C6" s="484">
        <v>3000</v>
      </c>
      <c r="D6" s="484">
        <v>5000</v>
      </c>
      <c r="E6" s="484">
        <v>4000</v>
      </c>
      <c r="F6" s="751">
        <v>3500</v>
      </c>
      <c r="G6" s="751">
        <v>3500</v>
      </c>
      <c r="H6" s="751">
        <v>3500</v>
      </c>
      <c r="I6" s="751">
        <v>3500</v>
      </c>
    </row>
    <row r="7" spans="1:9" hidden="1" x14ac:dyDescent="0.2">
      <c r="A7" s="482" t="s">
        <v>96</v>
      </c>
      <c r="B7" s="483"/>
      <c r="C7" s="484">
        <v>500</v>
      </c>
      <c r="D7" s="484">
        <v>1000</v>
      </c>
      <c r="E7" s="484" t="s">
        <v>531</v>
      </c>
      <c r="F7" s="751" t="s">
        <v>531</v>
      </c>
      <c r="G7" s="751"/>
      <c r="H7" s="751"/>
      <c r="I7" s="751"/>
    </row>
    <row r="8" spans="1:9" hidden="1" x14ac:dyDescent="0.2">
      <c r="A8" s="482" t="s">
        <v>97</v>
      </c>
      <c r="B8" s="483">
        <v>1000</v>
      </c>
      <c r="C8" s="484">
        <v>400</v>
      </c>
      <c r="D8" s="484">
        <v>1000</v>
      </c>
      <c r="E8" s="484" t="s">
        <v>531</v>
      </c>
      <c r="F8" s="751" t="s">
        <v>531</v>
      </c>
      <c r="G8" s="751"/>
      <c r="H8" s="751"/>
      <c r="I8" s="751"/>
    </row>
    <row r="9" spans="1:9" hidden="1" x14ac:dyDescent="0.2">
      <c r="A9" s="482" t="s">
        <v>298</v>
      </c>
      <c r="B9" s="483">
        <v>1800</v>
      </c>
      <c r="C9" s="484">
        <v>2400</v>
      </c>
      <c r="D9" s="484">
        <v>2100</v>
      </c>
      <c r="E9" s="485" t="s">
        <v>533</v>
      </c>
      <c r="F9" s="752" t="s">
        <v>533</v>
      </c>
      <c r="G9" s="752"/>
      <c r="H9" s="752"/>
      <c r="I9" s="752"/>
    </row>
    <row r="10" spans="1:9" hidden="1" x14ac:dyDescent="0.2">
      <c r="A10" s="482" t="s">
        <v>297</v>
      </c>
      <c r="B10" s="483">
        <v>2440</v>
      </c>
      <c r="C10" s="484">
        <v>450</v>
      </c>
      <c r="D10" s="484">
        <v>700</v>
      </c>
      <c r="E10" s="484" t="s">
        <v>531</v>
      </c>
      <c r="F10" s="751" t="s">
        <v>531</v>
      </c>
      <c r="G10" s="751"/>
      <c r="H10" s="751"/>
      <c r="I10" s="751"/>
    </row>
    <row r="11" spans="1:9" hidden="1" x14ac:dyDescent="0.2">
      <c r="A11" s="482" t="s">
        <v>445</v>
      </c>
      <c r="B11" s="483"/>
      <c r="C11" s="484">
        <v>850</v>
      </c>
      <c r="D11" s="484">
        <v>850</v>
      </c>
      <c r="E11" s="484" t="s">
        <v>535</v>
      </c>
      <c r="F11" s="751" t="s">
        <v>535</v>
      </c>
      <c r="G11" s="751"/>
      <c r="H11" s="751"/>
      <c r="I11" s="751"/>
    </row>
    <row r="12" spans="1:9" hidden="1" x14ac:dyDescent="0.2">
      <c r="A12" s="482" t="s">
        <v>300</v>
      </c>
      <c r="B12" s="483">
        <v>2040</v>
      </c>
      <c r="C12" s="484"/>
      <c r="D12" s="484">
        <v>1000</v>
      </c>
      <c r="E12" s="484" t="s">
        <v>531</v>
      </c>
      <c r="F12" s="751" t="s">
        <v>531</v>
      </c>
      <c r="G12" s="751"/>
      <c r="H12" s="751"/>
      <c r="I12" s="751"/>
    </row>
    <row r="13" spans="1:9" hidden="1" x14ac:dyDescent="0.2">
      <c r="A13" s="482" t="s">
        <v>349</v>
      </c>
      <c r="B13" s="483">
        <v>2280</v>
      </c>
      <c r="C13" s="484"/>
      <c r="D13" s="484">
        <v>1000</v>
      </c>
      <c r="E13" s="484" t="s">
        <v>531</v>
      </c>
      <c r="F13" s="751" t="s">
        <v>531</v>
      </c>
      <c r="G13" s="751"/>
      <c r="H13" s="751"/>
      <c r="I13" s="751"/>
    </row>
    <row r="14" spans="1:9" hidden="1" x14ac:dyDescent="0.2">
      <c r="A14" s="482" t="s">
        <v>303</v>
      </c>
      <c r="B14" s="483">
        <v>3200</v>
      </c>
      <c r="C14" s="484">
        <v>1500</v>
      </c>
      <c r="D14" s="484">
        <v>1200</v>
      </c>
      <c r="E14" s="484" t="s">
        <v>537</v>
      </c>
      <c r="F14" s="751" t="s">
        <v>537</v>
      </c>
      <c r="G14" s="751"/>
      <c r="H14" s="751"/>
      <c r="I14" s="751"/>
    </row>
    <row r="15" spans="1:9" x14ac:dyDescent="0.2">
      <c r="A15" s="482" t="s">
        <v>302</v>
      </c>
      <c r="B15" s="483">
        <v>4000</v>
      </c>
      <c r="C15" s="484">
        <v>4000</v>
      </c>
      <c r="D15" s="484">
        <v>4500</v>
      </c>
      <c r="E15" s="484">
        <v>4500</v>
      </c>
      <c r="F15" s="751">
        <v>5000</v>
      </c>
      <c r="G15" s="751">
        <v>6000</v>
      </c>
      <c r="H15" s="751">
        <v>8000</v>
      </c>
      <c r="I15" s="751">
        <v>8500</v>
      </c>
    </row>
    <row r="16" spans="1:9" hidden="1" x14ac:dyDescent="0.2">
      <c r="A16" s="482" t="s">
        <v>304</v>
      </c>
      <c r="B16" s="483">
        <v>1500</v>
      </c>
      <c r="C16" s="484"/>
      <c r="D16" s="484">
        <v>600</v>
      </c>
      <c r="E16" s="484" t="s">
        <v>535</v>
      </c>
      <c r="F16" s="751" t="s">
        <v>535</v>
      </c>
      <c r="G16" s="751"/>
      <c r="H16" s="751"/>
      <c r="I16" s="751"/>
    </row>
    <row r="17" spans="1:9" x14ac:dyDescent="0.2">
      <c r="A17" s="482" t="s">
        <v>301</v>
      </c>
      <c r="B17" s="483">
        <v>3000</v>
      </c>
      <c r="C17" s="484">
        <v>3000</v>
      </c>
      <c r="D17" s="484">
        <f>3000-1235</f>
        <v>1765</v>
      </c>
      <c r="E17" s="484">
        <v>3000</v>
      </c>
      <c r="F17" s="751">
        <v>3000</v>
      </c>
      <c r="G17" s="751">
        <v>4500</v>
      </c>
      <c r="H17" s="751">
        <v>4500</v>
      </c>
      <c r="I17" s="751">
        <v>4500</v>
      </c>
    </row>
    <row r="18" spans="1:9" hidden="1" x14ac:dyDescent="0.2">
      <c r="A18" s="482" t="s">
        <v>368</v>
      </c>
      <c r="B18" s="483">
        <v>1400</v>
      </c>
      <c r="C18" s="484">
        <v>4500</v>
      </c>
      <c r="D18" s="484">
        <v>3000</v>
      </c>
      <c r="E18" s="485" t="s">
        <v>533</v>
      </c>
      <c r="F18" s="752" t="s">
        <v>533</v>
      </c>
      <c r="G18" s="752"/>
      <c r="H18" s="752"/>
      <c r="I18" s="752"/>
    </row>
    <row r="19" spans="1:9" hidden="1" x14ac:dyDescent="0.2">
      <c r="A19" s="482" t="s">
        <v>529</v>
      </c>
      <c r="B19" s="483">
        <v>1400</v>
      </c>
      <c r="C19" s="485">
        <v>3000</v>
      </c>
      <c r="D19" s="485">
        <v>1500</v>
      </c>
      <c r="E19" s="485" t="s">
        <v>533</v>
      </c>
      <c r="F19" s="752" t="s">
        <v>533</v>
      </c>
      <c r="G19" s="752"/>
      <c r="H19" s="752"/>
      <c r="I19" s="752"/>
    </row>
    <row r="20" spans="1:9" hidden="1" x14ac:dyDescent="0.2">
      <c r="A20" s="482" t="s">
        <v>369</v>
      </c>
      <c r="B20" s="483"/>
      <c r="C20" s="485">
        <v>2500</v>
      </c>
      <c r="D20" s="485">
        <v>2500</v>
      </c>
      <c r="E20" s="485" t="s">
        <v>533</v>
      </c>
      <c r="F20" s="752" t="s">
        <v>533</v>
      </c>
      <c r="G20" s="752"/>
      <c r="H20" s="752"/>
      <c r="I20" s="752"/>
    </row>
    <row r="21" spans="1:9" hidden="1" x14ac:dyDescent="0.2">
      <c r="A21" s="482" t="s">
        <v>370</v>
      </c>
      <c r="B21" s="483"/>
      <c r="C21" s="485">
        <v>4000</v>
      </c>
      <c r="D21" s="485">
        <v>4000</v>
      </c>
      <c r="E21" s="485" t="s">
        <v>533</v>
      </c>
      <c r="F21" s="752" t="s">
        <v>533</v>
      </c>
      <c r="G21" s="752"/>
      <c r="H21" s="752"/>
      <c r="I21" s="752"/>
    </row>
    <row r="22" spans="1:9" x14ac:dyDescent="0.2">
      <c r="A22" s="482" t="s">
        <v>371</v>
      </c>
      <c r="B22" s="486"/>
      <c r="C22" s="484">
        <v>4500</v>
      </c>
      <c r="D22" s="484">
        <v>3000</v>
      </c>
      <c r="E22" s="485">
        <v>2500</v>
      </c>
      <c r="F22" s="752">
        <v>2500</v>
      </c>
      <c r="G22" s="752">
        <v>2500</v>
      </c>
      <c r="H22" s="752">
        <v>2500</v>
      </c>
      <c r="I22" s="752">
        <v>2500</v>
      </c>
    </row>
    <row r="23" spans="1:9" x14ac:dyDescent="0.2">
      <c r="A23" s="983" t="s">
        <v>530</v>
      </c>
      <c r="B23" s="483"/>
      <c r="C23" s="484">
        <v>900</v>
      </c>
      <c r="D23" s="484">
        <v>1500</v>
      </c>
      <c r="E23" s="484">
        <v>1500</v>
      </c>
      <c r="F23" s="751">
        <v>1500</v>
      </c>
      <c r="G23" s="751">
        <v>2500</v>
      </c>
      <c r="H23" s="751">
        <v>2500</v>
      </c>
      <c r="I23" s="751">
        <v>2500</v>
      </c>
    </row>
    <row r="24" spans="1:9" x14ac:dyDescent="0.2">
      <c r="A24" s="983" t="s">
        <v>767</v>
      </c>
      <c r="B24" s="483"/>
      <c r="C24" s="484"/>
      <c r="D24" s="484">
        <v>3000</v>
      </c>
      <c r="E24" s="484">
        <v>20000</v>
      </c>
      <c r="F24" s="751">
        <v>35000</v>
      </c>
      <c r="G24" s="751">
        <v>40000</v>
      </c>
      <c r="H24" s="751">
        <v>40000</v>
      </c>
      <c r="I24" s="751">
        <v>50000</v>
      </c>
    </row>
    <row r="25" spans="1:9" x14ac:dyDescent="0.2">
      <c r="A25" s="983" t="s">
        <v>718</v>
      </c>
      <c r="B25" s="483"/>
      <c r="C25" s="484"/>
      <c r="D25" s="484"/>
      <c r="E25" s="484">
        <v>4700</v>
      </c>
      <c r="F25" s="751">
        <v>2500</v>
      </c>
      <c r="G25" s="751">
        <v>1500</v>
      </c>
      <c r="H25" s="751">
        <v>1500</v>
      </c>
      <c r="I25" s="751">
        <v>1500</v>
      </c>
    </row>
    <row r="26" spans="1:9" x14ac:dyDescent="0.2">
      <c r="A26" s="983" t="s">
        <v>532</v>
      </c>
      <c r="B26" s="483"/>
      <c r="C26" s="484"/>
      <c r="D26" s="484"/>
      <c r="E26" s="484">
        <v>13100</v>
      </c>
      <c r="F26" s="751">
        <v>11000</v>
      </c>
      <c r="G26" s="751">
        <v>11000</v>
      </c>
      <c r="H26" s="751">
        <v>11000</v>
      </c>
      <c r="I26" s="751">
        <v>12000</v>
      </c>
    </row>
    <row r="27" spans="1:9" x14ac:dyDescent="0.2">
      <c r="A27" s="983" t="s">
        <v>534</v>
      </c>
      <c r="B27" s="483"/>
      <c r="C27" s="484"/>
      <c r="D27" s="484"/>
      <c r="E27" s="484">
        <v>1450</v>
      </c>
      <c r="F27" s="751">
        <f>(40*25)+600</f>
        <v>1600</v>
      </c>
      <c r="G27" s="751">
        <v>2000</v>
      </c>
      <c r="H27" s="751">
        <v>2000</v>
      </c>
      <c r="I27" s="751">
        <v>2500</v>
      </c>
    </row>
    <row r="28" spans="1:9" x14ac:dyDescent="0.2">
      <c r="A28" s="983" t="s">
        <v>536</v>
      </c>
      <c r="B28" s="483"/>
      <c r="C28" s="484"/>
      <c r="D28" s="484"/>
      <c r="E28" s="484">
        <v>3900</v>
      </c>
      <c r="F28" s="751">
        <v>5000</v>
      </c>
      <c r="G28" s="751">
        <v>5000</v>
      </c>
      <c r="H28" s="751">
        <v>7000</v>
      </c>
      <c r="I28" s="751">
        <v>10000</v>
      </c>
    </row>
    <row r="29" spans="1:9" hidden="1" x14ac:dyDescent="0.2">
      <c r="A29" s="983" t="s">
        <v>583</v>
      </c>
      <c r="B29" s="483"/>
      <c r="C29" s="484"/>
      <c r="D29" s="484"/>
      <c r="E29" s="484"/>
      <c r="F29" s="751">
        <v>2800</v>
      </c>
      <c r="G29" s="751">
        <v>0</v>
      </c>
      <c r="H29" s="751">
        <v>0</v>
      </c>
      <c r="I29" s="751">
        <v>0</v>
      </c>
    </row>
    <row r="30" spans="1:9" x14ac:dyDescent="0.2">
      <c r="A30" s="983" t="s">
        <v>637</v>
      </c>
      <c r="B30" s="483"/>
      <c r="C30" s="484"/>
      <c r="D30" s="484"/>
      <c r="E30" s="484"/>
      <c r="F30" s="751">
        <v>0</v>
      </c>
      <c r="G30" s="751">
        <v>6000</v>
      </c>
      <c r="H30" s="751">
        <v>7000</v>
      </c>
      <c r="I30" s="751">
        <v>8000</v>
      </c>
    </row>
    <row r="31" spans="1:9" x14ac:dyDescent="0.2">
      <c r="A31" s="983" t="s">
        <v>673</v>
      </c>
      <c r="B31" s="483"/>
      <c r="C31" s="484"/>
      <c r="D31" s="484"/>
      <c r="E31" s="484"/>
      <c r="F31" s="751">
        <v>0</v>
      </c>
      <c r="G31" s="751">
        <v>0</v>
      </c>
      <c r="H31" s="751">
        <f>6500+1250+275</f>
        <v>8025</v>
      </c>
      <c r="I31" s="751">
        <v>0</v>
      </c>
    </row>
    <row r="32" spans="1:9" x14ac:dyDescent="0.2">
      <c r="A32" s="983" t="s">
        <v>695</v>
      </c>
      <c r="B32" s="483"/>
      <c r="C32" s="484"/>
      <c r="D32" s="484"/>
      <c r="E32" s="484"/>
      <c r="F32" s="751"/>
      <c r="G32" s="751"/>
      <c r="H32" s="751">
        <v>10000</v>
      </c>
      <c r="I32" s="751">
        <v>0</v>
      </c>
    </row>
    <row r="33" spans="1:9" x14ac:dyDescent="0.2">
      <c r="A33" s="516"/>
      <c r="B33" s="483">
        <v>-22000</v>
      </c>
      <c r="C33" s="484"/>
      <c r="D33" s="484"/>
      <c r="E33" s="484"/>
      <c r="F33" s="751"/>
      <c r="G33" s="751"/>
      <c r="H33" s="751"/>
      <c r="I33" s="751"/>
    </row>
    <row r="34" spans="1:9" ht="17.25" thickBot="1" x14ac:dyDescent="0.25">
      <c r="A34" s="496" t="s">
        <v>122</v>
      </c>
      <c r="B34" s="856">
        <f t="shared" ref="B34:H34" si="0">SUM(B4:B33)</f>
        <v>3610</v>
      </c>
      <c r="C34" s="856">
        <f t="shared" si="0"/>
        <v>36275</v>
      </c>
      <c r="D34" s="856">
        <f t="shared" si="0"/>
        <v>40615</v>
      </c>
      <c r="E34" s="856">
        <f t="shared" si="0"/>
        <v>58650</v>
      </c>
      <c r="F34" s="857">
        <f t="shared" si="0"/>
        <v>73400</v>
      </c>
      <c r="G34" s="857">
        <f t="shared" ref="G34" si="1">SUM(G4:G33)</f>
        <v>84500</v>
      </c>
      <c r="H34" s="857">
        <f t="shared" si="0"/>
        <v>107525</v>
      </c>
      <c r="I34" s="857">
        <f t="shared" ref="I34" si="2">SUM(I4:I33)</f>
        <v>105500</v>
      </c>
    </row>
    <row r="35" spans="1:9" ht="17.25" thickTop="1" x14ac:dyDescent="0.2"/>
    <row r="36" spans="1:9" x14ac:dyDescent="0.2">
      <c r="A36" s="982" t="s">
        <v>768</v>
      </c>
    </row>
  </sheetData>
  <sortState ref="A30:E50">
    <sortCondition ref="A30:A50"/>
  </sortState>
  <phoneticPr fontId="20" type="noConversion"/>
  <printOptions horizontalCentered="1"/>
  <pageMargins left="0.5" right="0.25" top="0.5" bottom="0.5" header="0.5" footer="0.5"/>
  <pageSetup orientation="portrait" r:id="rId1"/>
  <headerFooter alignWithMargins="0">
    <oddFooter>&amp;L&amp;F, &amp;A&amp;R&amp;D,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55"/>
  <sheetViews>
    <sheetView workbookViewId="0">
      <pane ySplit="2" topLeftCell="A3" activePane="bottomLeft" state="frozen"/>
      <selection pane="bottomLeft" activeCell="J7" sqref="J7"/>
    </sheetView>
  </sheetViews>
  <sheetFormatPr defaultColWidth="11.140625" defaultRowHeight="18.75" customHeight="1" x14ac:dyDescent="0.3"/>
  <cols>
    <col min="1" max="1" width="6.5703125" style="97" customWidth="1"/>
    <col min="2" max="2" width="54.7109375" style="60" bestFit="1" customWidth="1"/>
    <col min="3" max="7" width="12" style="26" hidden="1" customWidth="1"/>
    <col min="8" max="8" width="12.85546875" style="26" customWidth="1"/>
    <col min="9" max="9" width="13.140625" style="26" bestFit="1" customWidth="1"/>
    <col min="10" max="10" width="13.140625" style="26" customWidth="1"/>
    <col min="11" max="11" width="13.42578125" style="26" bestFit="1" customWidth="1"/>
    <col min="12" max="12" width="13.28515625" style="26" bestFit="1" customWidth="1"/>
    <col min="13" max="13" width="12.85546875" style="26" bestFit="1" customWidth="1"/>
    <col min="14" max="16384" width="11.140625" style="26"/>
  </cols>
  <sheetData>
    <row r="1" spans="1:13" s="93" customFormat="1" ht="18.75" customHeight="1" x14ac:dyDescent="0.3">
      <c r="A1" s="504"/>
      <c r="B1" s="505" t="s">
        <v>492</v>
      </c>
      <c r="C1" s="505" t="s">
        <v>448</v>
      </c>
      <c r="D1" s="505" t="s">
        <v>449</v>
      </c>
      <c r="E1" s="505"/>
      <c r="F1" s="505"/>
      <c r="G1" s="505"/>
      <c r="H1" s="505"/>
      <c r="I1" s="505"/>
      <c r="J1" s="505"/>
    </row>
    <row r="2" spans="1:13" s="93" customFormat="1" ht="18.75" customHeight="1" x14ac:dyDescent="0.3">
      <c r="A2" s="886"/>
      <c r="B2" s="887" t="s">
        <v>124</v>
      </c>
      <c r="C2" s="888">
        <v>2010</v>
      </c>
      <c r="D2" s="888">
        <v>2013</v>
      </c>
      <c r="E2" s="889">
        <v>2014</v>
      </c>
      <c r="F2" s="889">
        <v>2015</v>
      </c>
      <c r="G2" s="889">
        <v>2016</v>
      </c>
      <c r="H2" s="889">
        <v>2017</v>
      </c>
      <c r="I2" s="889">
        <v>2018</v>
      </c>
      <c r="J2" s="980">
        <v>2019</v>
      </c>
      <c r="L2" s="93" t="s">
        <v>778</v>
      </c>
    </row>
    <row r="3" spans="1:13" s="253" customFormat="1" ht="24.95" customHeight="1" x14ac:dyDescent="0.3">
      <c r="A3" s="126">
        <v>407</v>
      </c>
      <c r="B3" s="34" t="s">
        <v>205</v>
      </c>
      <c r="C3" s="890">
        <v>6797.47</v>
      </c>
      <c r="D3" s="891">
        <v>7500</v>
      </c>
      <c r="E3" s="892">
        <v>15200</v>
      </c>
      <c r="F3" s="892">
        <v>11100</v>
      </c>
      <c r="G3" s="892">
        <v>8700</v>
      </c>
      <c r="H3" s="892">
        <f>4050*2</f>
        <v>8100</v>
      </c>
      <c r="I3" s="892">
        <f>4050*2</f>
        <v>8100</v>
      </c>
      <c r="J3" s="741">
        <f>18800*2</f>
        <v>37600</v>
      </c>
      <c r="K3" s="671"/>
      <c r="L3" s="986">
        <f>J3/J24</f>
        <v>6.7922653451909266E-3</v>
      </c>
    </row>
    <row r="4" spans="1:13" s="93" customFormat="1" ht="31.5" customHeight="1" x14ac:dyDescent="0.3">
      <c r="A4" s="126" t="s">
        <v>86</v>
      </c>
      <c r="B4" s="893" t="s">
        <v>329</v>
      </c>
      <c r="C4" s="835">
        <v>2079268.31</v>
      </c>
      <c r="D4" s="894">
        <v>2024884</v>
      </c>
      <c r="E4" s="819">
        <v>2073137</v>
      </c>
      <c r="F4" s="819">
        <v>2140914</v>
      </c>
      <c r="G4" s="819">
        <f>25855208.63*0.09</f>
        <v>2326968.7766999998</v>
      </c>
      <c r="H4" s="819">
        <f>28818430.97*0.1</f>
        <v>2881843.0970000001</v>
      </c>
      <c r="I4" s="819">
        <f>30191851.95*0.1</f>
        <v>3019185.1950000003</v>
      </c>
      <c r="J4" s="978">
        <f>32812364.67*0.0975</f>
        <v>3199205.5553250001</v>
      </c>
      <c r="K4" s="1015">
        <f>SUM(J4:J6)</f>
        <v>3199205.5553250001</v>
      </c>
      <c r="L4" s="986">
        <f>J4/J24</f>
        <v>0.57792162302064609</v>
      </c>
    </row>
    <row r="5" spans="1:13" s="93" customFormat="1" ht="24.95" customHeight="1" x14ac:dyDescent="0.3">
      <c r="A5" s="126" t="s">
        <v>87</v>
      </c>
      <c r="B5" s="34" t="s">
        <v>89</v>
      </c>
      <c r="C5" s="665">
        <v>17084.2</v>
      </c>
      <c r="D5" s="895">
        <v>10175</v>
      </c>
      <c r="E5" s="666"/>
      <c r="F5" s="666"/>
      <c r="G5" s="666"/>
      <c r="H5" s="666"/>
      <c r="I5" s="666"/>
      <c r="J5" s="666"/>
      <c r="K5" s="1016"/>
      <c r="L5" s="986">
        <f>J5/J24</f>
        <v>0</v>
      </c>
    </row>
    <row r="6" spans="1:13" s="93" customFormat="1" ht="24.95" customHeight="1" x14ac:dyDescent="0.3">
      <c r="A6" s="126" t="s">
        <v>88</v>
      </c>
      <c r="B6" s="34" t="s">
        <v>79</v>
      </c>
      <c r="C6" s="667">
        <v>384.14</v>
      </c>
      <c r="D6" s="896"/>
      <c r="E6" s="668"/>
      <c r="F6" s="668"/>
      <c r="G6" s="668"/>
      <c r="H6" s="668"/>
      <c r="I6" s="668"/>
      <c r="J6" s="979"/>
      <c r="K6" s="1017"/>
      <c r="L6" s="986">
        <f>J6/J24</f>
        <v>0</v>
      </c>
    </row>
    <row r="7" spans="1:13" s="93" customFormat="1" ht="24.95" customHeight="1" x14ac:dyDescent="0.3">
      <c r="A7" s="126">
        <v>415</v>
      </c>
      <c r="B7" s="34" t="s">
        <v>90</v>
      </c>
      <c r="C7" s="890">
        <v>1593158.56</v>
      </c>
      <c r="D7" s="897">
        <v>1644578</v>
      </c>
      <c r="E7" s="892">
        <v>1685692</v>
      </c>
      <c r="F7" s="892">
        <v>2187099</v>
      </c>
      <c r="G7" s="892">
        <f>2191383+200000</f>
        <v>2391383</v>
      </c>
      <c r="H7" s="892">
        <f>G7*1.04</f>
        <v>2487038.3200000003</v>
      </c>
      <c r="I7" s="892">
        <f>H7*1.045</f>
        <v>2598955.0444</v>
      </c>
      <c r="J7" s="741">
        <f>(I7*1.05)-(675000*0.75)-(46000*0.85)</f>
        <v>2183552.7966200002</v>
      </c>
      <c r="K7" s="672"/>
      <c r="L7" s="986">
        <f>J7/J24</f>
        <v>0.39444866994353084</v>
      </c>
      <c r="M7" s="661"/>
    </row>
    <row r="8" spans="1:13" s="93" customFormat="1" ht="24.95" customHeight="1" x14ac:dyDescent="0.3">
      <c r="A8" s="126">
        <v>435</v>
      </c>
      <c r="B8" s="34" t="s">
        <v>80</v>
      </c>
      <c r="C8" s="835">
        <v>2650</v>
      </c>
      <c r="D8" s="894">
        <v>2900</v>
      </c>
      <c r="E8" s="819">
        <v>2900</v>
      </c>
      <c r="F8" s="819">
        <v>3600</v>
      </c>
      <c r="G8" s="819">
        <v>3600</v>
      </c>
      <c r="H8" s="819">
        <v>3600</v>
      </c>
      <c r="I8" s="819">
        <v>3600</v>
      </c>
      <c r="J8" s="978">
        <f>1500*2</f>
        <v>3000</v>
      </c>
      <c r="K8" s="1015">
        <f>SUM(J8:J10)</f>
        <v>9600</v>
      </c>
      <c r="L8" s="986">
        <f>J8/J24</f>
        <v>5.4193606477587186E-4</v>
      </c>
    </row>
    <row r="9" spans="1:13" s="93" customFormat="1" ht="24.95" customHeight="1" x14ac:dyDescent="0.3">
      <c r="A9" s="126">
        <v>435</v>
      </c>
      <c r="B9" s="34" t="s">
        <v>81</v>
      </c>
      <c r="C9" s="665">
        <v>1490</v>
      </c>
      <c r="D9" s="895">
        <v>10000</v>
      </c>
      <c r="E9" s="666">
        <v>7000</v>
      </c>
      <c r="F9" s="666">
        <f>5000+3000</f>
        <v>8000</v>
      </c>
      <c r="G9" s="666">
        <v>8000</v>
      </c>
      <c r="H9" s="666">
        <v>10000</v>
      </c>
      <c r="I9" s="666">
        <v>10000</v>
      </c>
      <c r="J9" s="666">
        <f>3300*2</f>
        <v>6600</v>
      </c>
      <c r="K9" s="1016"/>
      <c r="L9" s="986">
        <f>J9/J24</f>
        <v>1.192259342506918E-3</v>
      </c>
    </row>
    <row r="10" spans="1:13" s="93" customFormat="1" ht="24.95" customHeight="1" x14ac:dyDescent="0.3">
      <c r="A10" s="126">
        <v>450</v>
      </c>
      <c r="B10" s="34" t="s">
        <v>421</v>
      </c>
      <c r="C10" s="667">
        <v>448</v>
      </c>
      <c r="D10" s="896">
        <v>500</v>
      </c>
      <c r="E10" s="668">
        <v>200</v>
      </c>
      <c r="F10" s="668">
        <v>200</v>
      </c>
      <c r="G10" s="668">
        <v>100</v>
      </c>
      <c r="H10" s="668">
        <v>0</v>
      </c>
      <c r="I10" s="668">
        <v>0</v>
      </c>
      <c r="J10" s="979"/>
      <c r="K10" s="1017"/>
      <c r="L10" s="986">
        <f>J10/J24</f>
        <v>0</v>
      </c>
    </row>
    <row r="11" spans="1:13" s="93" customFormat="1" ht="24.95" customHeight="1" x14ac:dyDescent="0.3">
      <c r="A11" s="126">
        <v>460</v>
      </c>
      <c r="B11" s="34" t="s">
        <v>230</v>
      </c>
      <c r="C11" s="835">
        <v>450</v>
      </c>
      <c r="D11" s="898">
        <v>4000</v>
      </c>
      <c r="E11" s="819">
        <v>4000</v>
      </c>
      <c r="F11" s="819">
        <v>2000</v>
      </c>
      <c r="G11" s="819">
        <v>2000</v>
      </c>
      <c r="H11" s="819">
        <v>2000</v>
      </c>
      <c r="I11" s="819">
        <v>2000</v>
      </c>
      <c r="J11" s="978">
        <v>200</v>
      </c>
      <c r="K11" s="1015">
        <f>SUM(J11:J13)</f>
        <v>100950</v>
      </c>
      <c r="L11" s="986">
        <f>J11/J24</f>
        <v>3.6129070985058122E-5</v>
      </c>
    </row>
    <row r="12" spans="1:13" s="93" customFormat="1" ht="24.95" customHeight="1" x14ac:dyDescent="0.3">
      <c r="A12" s="126">
        <v>470</v>
      </c>
      <c r="B12" s="893" t="s">
        <v>604</v>
      </c>
      <c r="C12" s="665">
        <v>124555</v>
      </c>
      <c r="D12" s="899">
        <v>144000</v>
      </c>
      <c r="E12" s="666">
        <v>147600</v>
      </c>
      <c r="F12" s="666">
        <f>30*4050</f>
        <v>121500</v>
      </c>
      <c r="G12" s="666">
        <f>28*4050</f>
        <v>113400</v>
      </c>
      <c r="H12" s="666">
        <v>97200</v>
      </c>
      <c r="I12" s="666">
        <v>97200</v>
      </c>
      <c r="J12" s="666">
        <v>76750</v>
      </c>
      <c r="K12" s="1016"/>
      <c r="L12" s="986">
        <f>J12/J24</f>
        <v>1.3864530990516055E-2</v>
      </c>
    </row>
    <row r="13" spans="1:13" s="93" customFormat="1" ht="30" customHeight="1" x14ac:dyDescent="0.3">
      <c r="A13" s="126">
        <v>471</v>
      </c>
      <c r="B13" s="893" t="s">
        <v>292</v>
      </c>
      <c r="C13" s="667">
        <v>34455.75</v>
      </c>
      <c r="D13" s="900">
        <v>42000</v>
      </c>
      <c r="E13" s="668">
        <v>49200</v>
      </c>
      <c r="F13" s="668">
        <f>48*1100</f>
        <v>52800</v>
      </c>
      <c r="G13" s="668">
        <f>48*1100</f>
        <v>52800</v>
      </c>
      <c r="H13" s="668">
        <v>35200</v>
      </c>
      <c r="I13" s="668">
        <v>35200</v>
      </c>
      <c r="J13" s="979">
        <v>24000</v>
      </c>
      <c r="K13" s="1017"/>
      <c r="L13" s="986">
        <f>J13/J24</f>
        <v>4.3354885182069749E-3</v>
      </c>
    </row>
    <row r="14" spans="1:13" s="93" customFormat="1" ht="30" hidden="1" customHeight="1" x14ac:dyDescent="0.3">
      <c r="A14" s="126">
        <v>475</v>
      </c>
      <c r="B14" s="893" t="s">
        <v>82</v>
      </c>
      <c r="C14" s="740">
        <v>6488.95</v>
      </c>
      <c r="D14" s="891">
        <v>10100</v>
      </c>
      <c r="E14" s="892">
        <v>15000</v>
      </c>
      <c r="F14" s="892"/>
      <c r="G14" s="892"/>
      <c r="H14" s="892"/>
      <c r="I14" s="892"/>
      <c r="J14" s="977"/>
      <c r="K14" s="672"/>
      <c r="L14" s="986" t="e">
        <f t="shared" ref="L14" si="0">J14/J25</f>
        <v>#DIV/0!</v>
      </c>
    </row>
    <row r="15" spans="1:13" s="93" customFormat="1" ht="24.95" customHeight="1" x14ac:dyDescent="0.3">
      <c r="A15" s="126">
        <v>477</v>
      </c>
      <c r="B15" s="34" t="s">
        <v>231</v>
      </c>
      <c r="C15" s="835">
        <v>2500</v>
      </c>
      <c r="D15" s="898">
        <v>0</v>
      </c>
      <c r="E15" s="819"/>
      <c r="F15" s="819"/>
      <c r="G15" s="819"/>
      <c r="H15" s="819">
        <v>0</v>
      </c>
      <c r="I15" s="819">
        <v>0</v>
      </c>
      <c r="J15" s="978">
        <v>0</v>
      </c>
      <c r="K15" s="1015">
        <f>SUM(J15:J16)</f>
        <v>3500</v>
      </c>
      <c r="L15" s="986">
        <f>J15/J24</f>
        <v>0</v>
      </c>
    </row>
    <row r="16" spans="1:13" s="93" customFormat="1" ht="24.95" customHeight="1" x14ac:dyDescent="0.3">
      <c r="A16" s="126">
        <v>480</v>
      </c>
      <c r="B16" s="34" t="s">
        <v>227</v>
      </c>
      <c r="C16" s="667">
        <v>1250</v>
      </c>
      <c r="D16" s="896">
        <v>2500</v>
      </c>
      <c r="E16" s="668">
        <v>2500</v>
      </c>
      <c r="F16" s="668">
        <v>2500</v>
      </c>
      <c r="G16" s="668">
        <v>2500</v>
      </c>
      <c r="H16" s="668">
        <v>2500</v>
      </c>
      <c r="I16" s="668">
        <v>2500</v>
      </c>
      <c r="J16" s="979">
        <v>3500</v>
      </c>
      <c r="K16" s="1017"/>
      <c r="L16" s="986">
        <f>J16/J24</f>
        <v>6.3225874223851708E-4</v>
      </c>
    </row>
    <row r="17" spans="1:12" s="93" customFormat="1" ht="24.95" customHeight="1" x14ac:dyDescent="0.3">
      <c r="A17" s="126">
        <v>485</v>
      </c>
      <c r="B17" s="34" t="s">
        <v>83</v>
      </c>
      <c r="C17" s="835">
        <v>124</v>
      </c>
      <c r="D17" s="894">
        <v>0</v>
      </c>
      <c r="E17" s="819">
        <v>300000</v>
      </c>
      <c r="F17" s="819"/>
      <c r="G17" s="819">
        <v>775000</v>
      </c>
      <c r="H17" s="819">
        <v>695000</v>
      </c>
      <c r="I17" s="819">
        <v>0</v>
      </c>
      <c r="J17" s="978">
        <v>0</v>
      </c>
      <c r="K17" s="1015">
        <f>SUM(J17:J21)</f>
        <v>1300</v>
      </c>
      <c r="L17" s="986">
        <f>J17/J24</f>
        <v>0</v>
      </c>
    </row>
    <row r="18" spans="1:12" s="93" customFormat="1" ht="24.95" customHeight="1" x14ac:dyDescent="0.3">
      <c r="A18" s="126">
        <v>487</v>
      </c>
      <c r="B18" s="34" t="s">
        <v>610</v>
      </c>
      <c r="C18" s="901">
        <v>2280.4</v>
      </c>
      <c r="D18" s="895">
        <v>3400</v>
      </c>
      <c r="E18" s="666">
        <v>2200</v>
      </c>
      <c r="F18" s="666">
        <v>2400</v>
      </c>
      <c r="G18" s="666">
        <v>2000</v>
      </c>
      <c r="H18" s="666">
        <v>2000</v>
      </c>
      <c r="I18" s="666">
        <v>2000</v>
      </c>
      <c r="J18" s="666">
        <f>650*2</f>
        <v>1300</v>
      </c>
      <c r="K18" s="1016"/>
      <c r="L18" s="986">
        <f>J18/J24</f>
        <v>2.3483896140287779E-4</v>
      </c>
    </row>
    <row r="19" spans="1:12" s="93" customFormat="1" ht="24.95" customHeight="1" x14ac:dyDescent="0.3">
      <c r="A19" s="126">
        <v>490</v>
      </c>
      <c r="B19" s="34" t="s">
        <v>84</v>
      </c>
      <c r="C19" s="665">
        <v>6004.64</v>
      </c>
      <c r="D19" s="895">
        <v>0</v>
      </c>
      <c r="E19" s="666"/>
      <c r="F19" s="666"/>
      <c r="G19" s="666">
        <v>0</v>
      </c>
      <c r="H19" s="666">
        <v>0</v>
      </c>
      <c r="I19" s="666">
        <v>0</v>
      </c>
      <c r="J19" s="666">
        <v>0</v>
      </c>
      <c r="K19" s="1016"/>
      <c r="L19" s="986">
        <f>J19/J24</f>
        <v>0</v>
      </c>
    </row>
    <row r="20" spans="1:12" s="93" customFormat="1" ht="24.95" customHeight="1" x14ac:dyDescent="0.3">
      <c r="A20" s="126">
        <v>493</v>
      </c>
      <c r="B20" s="34" t="s">
        <v>356</v>
      </c>
      <c r="C20" s="665">
        <v>276.60000000000002</v>
      </c>
      <c r="D20" s="895">
        <v>0</v>
      </c>
      <c r="E20" s="666"/>
      <c r="F20" s="666"/>
      <c r="G20" s="666">
        <v>0</v>
      </c>
      <c r="H20" s="666">
        <v>0</v>
      </c>
      <c r="I20" s="666">
        <v>0</v>
      </c>
      <c r="J20" s="666">
        <v>0</v>
      </c>
      <c r="K20" s="1016"/>
      <c r="L20" s="986">
        <f>J20/J24</f>
        <v>0</v>
      </c>
    </row>
    <row r="21" spans="1:12" s="93" customFormat="1" ht="24.95" customHeight="1" x14ac:dyDescent="0.3">
      <c r="A21" s="126">
        <v>499</v>
      </c>
      <c r="B21" s="34" t="s">
        <v>85</v>
      </c>
      <c r="C21" s="667"/>
      <c r="D21" s="900">
        <v>55000</v>
      </c>
      <c r="E21" s="668">
        <v>80000</v>
      </c>
      <c r="F21" s="668"/>
      <c r="G21" s="668">
        <f>25000+5000</f>
        <v>30000</v>
      </c>
      <c r="H21" s="668">
        <v>0</v>
      </c>
      <c r="I21" s="668">
        <v>0</v>
      </c>
      <c r="J21" s="979">
        <v>0</v>
      </c>
      <c r="K21" s="1017"/>
      <c r="L21" s="986">
        <f>J21/J24</f>
        <v>0</v>
      </c>
    </row>
    <row r="22" spans="1:12" s="93" customFormat="1" ht="24.95" hidden="1" customHeight="1" x14ac:dyDescent="0.3">
      <c r="A22" s="126">
        <v>495</v>
      </c>
      <c r="B22" s="902" t="s">
        <v>328</v>
      </c>
      <c r="C22" s="901">
        <v>0</v>
      </c>
      <c r="D22" s="891">
        <v>0</v>
      </c>
      <c r="E22" s="892"/>
      <c r="F22" s="892"/>
      <c r="G22" s="892"/>
      <c r="H22" s="892"/>
      <c r="I22" s="892"/>
      <c r="J22" s="977"/>
      <c r="K22" s="673"/>
    </row>
    <row r="23" spans="1:12" s="93" customFormat="1" ht="13.5" customHeight="1" thickBot="1" x14ac:dyDescent="0.35">
      <c r="A23" s="903"/>
      <c r="B23" s="904"/>
      <c r="C23" s="46"/>
      <c r="D23" s="891"/>
      <c r="E23" s="892"/>
      <c r="F23" s="892"/>
      <c r="G23" s="892"/>
      <c r="H23" s="892"/>
      <c r="I23" s="892"/>
      <c r="J23" s="981"/>
      <c r="K23" s="673"/>
    </row>
    <row r="24" spans="1:12" s="93" customFormat="1" ht="18.75" customHeight="1" thickTop="1" x14ac:dyDescent="0.3">
      <c r="A24" s="905"/>
      <c r="B24" s="221" t="s">
        <v>122</v>
      </c>
      <c r="C24" s="760">
        <f t="shared" ref="C24:I24" si="1">SUM(C3:C23)</f>
        <v>3879666.0200000005</v>
      </c>
      <c r="D24" s="849">
        <f t="shared" si="1"/>
        <v>3961537</v>
      </c>
      <c r="E24" s="760">
        <f t="shared" si="1"/>
        <v>4384629</v>
      </c>
      <c r="F24" s="760">
        <f t="shared" si="1"/>
        <v>4532113</v>
      </c>
      <c r="G24" s="760">
        <f t="shared" si="1"/>
        <v>5716451.7766999993</v>
      </c>
      <c r="H24" s="760">
        <f t="shared" ref="H24" si="2">SUM(H3:H23)</f>
        <v>6224481.4170000004</v>
      </c>
      <c r="I24" s="760">
        <f t="shared" si="1"/>
        <v>5778740.2394000003</v>
      </c>
      <c r="J24" s="760">
        <f>SUM(J3:J23)</f>
        <v>5535708.3519449998</v>
      </c>
      <c r="K24" s="674"/>
    </row>
    <row r="25" spans="1:12" s="93" customFormat="1" ht="16.5" x14ac:dyDescent="0.3">
      <c r="A25" s="97"/>
      <c r="B25" s="17"/>
      <c r="C25" s="46"/>
      <c r="D25" s="46"/>
    </row>
    <row r="26" spans="1:12" ht="12.95" customHeight="1" x14ac:dyDescent="0.25">
      <c r="A26" s="26"/>
      <c r="B26" s="26"/>
    </row>
    <row r="27" spans="1:12" ht="18" customHeight="1" x14ac:dyDescent="0.25">
      <c r="A27" s="26"/>
      <c r="B27" s="26"/>
    </row>
    <row r="28" spans="1:12" ht="9" customHeight="1" x14ac:dyDescent="0.25">
      <c r="A28" s="26"/>
      <c r="B28" s="26"/>
    </row>
    <row r="29" spans="1:12" s="93" customFormat="1" ht="12.95" customHeight="1" x14ac:dyDescent="0.25"/>
    <row r="30" spans="1:12" ht="9" customHeight="1" x14ac:dyDescent="0.25">
      <c r="A30" s="26"/>
      <c r="B30" s="26"/>
    </row>
    <row r="31" spans="1:12" ht="12.95" customHeight="1" x14ac:dyDescent="0.25">
      <c r="A31" s="26"/>
      <c r="B31" s="26"/>
    </row>
    <row r="32" spans="1:12" ht="12.95" customHeight="1" x14ac:dyDescent="0.25">
      <c r="A32" s="26"/>
      <c r="B32" s="26"/>
    </row>
    <row r="33" spans="1:2" ht="12.95" customHeight="1" x14ac:dyDescent="0.25">
      <c r="A33" s="26"/>
      <c r="B33" s="26"/>
    </row>
    <row r="34" spans="1:2" ht="12.95" customHeight="1" x14ac:dyDescent="0.25">
      <c r="A34" s="26"/>
      <c r="B34" s="26"/>
    </row>
    <row r="35" spans="1:2" ht="12.95" customHeight="1" x14ac:dyDescent="0.25">
      <c r="A35" s="26"/>
      <c r="B35" s="26"/>
    </row>
    <row r="36" spans="1:2" ht="12.95" customHeight="1" x14ac:dyDescent="0.25">
      <c r="A36" s="26"/>
      <c r="B36" s="26"/>
    </row>
    <row r="37" spans="1:2" ht="18.75" customHeight="1" x14ac:dyDescent="0.25">
      <c r="A37" s="26"/>
      <c r="B37" s="26"/>
    </row>
    <row r="38" spans="1:2" ht="18.75" customHeight="1" x14ac:dyDescent="0.25">
      <c r="A38" s="26"/>
      <c r="B38" s="26"/>
    </row>
    <row r="39" spans="1:2" ht="18.75" customHeight="1" x14ac:dyDescent="0.25">
      <c r="A39" s="26"/>
      <c r="B39" s="26"/>
    </row>
    <row r="40" spans="1:2" ht="18.75" customHeight="1" x14ac:dyDescent="0.25">
      <c r="A40" s="26"/>
      <c r="B40" s="26"/>
    </row>
    <row r="41" spans="1:2" ht="18.75" customHeight="1" x14ac:dyDescent="0.25">
      <c r="A41" s="26"/>
      <c r="B41" s="26"/>
    </row>
    <row r="42" spans="1:2" ht="10.5" customHeight="1" x14ac:dyDescent="0.25">
      <c r="A42" s="26"/>
      <c r="B42" s="26"/>
    </row>
    <row r="43" spans="1:2" ht="18.75" customHeight="1" x14ac:dyDescent="0.25">
      <c r="A43" s="26"/>
      <c r="B43" s="26"/>
    </row>
    <row r="44" spans="1:2" ht="18.75" customHeight="1" x14ac:dyDescent="0.25">
      <c r="A44" s="26"/>
      <c r="B44" s="26"/>
    </row>
    <row r="45" spans="1:2" ht="18.75" customHeight="1" x14ac:dyDescent="0.25">
      <c r="A45" s="26"/>
      <c r="B45" s="26"/>
    </row>
    <row r="46" spans="1:2" ht="18.75" customHeight="1" x14ac:dyDescent="0.25">
      <c r="A46" s="26"/>
      <c r="B46" s="26"/>
    </row>
    <row r="47" spans="1:2" ht="18.75" customHeight="1" x14ac:dyDescent="0.25">
      <c r="A47" s="26"/>
      <c r="B47" s="26"/>
    </row>
    <row r="48" spans="1:2" ht="18.75" customHeight="1" x14ac:dyDescent="0.25">
      <c r="A48" s="26"/>
      <c r="B48" s="26"/>
    </row>
    <row r="49" spans="1:2" ht="18.75" customHeight="1" x14ac:dyDescent="0.25">
      <c r="A49" s="26"/>
      <c r="B49" s="26"/>
    </row>
    <row r="50" spans="1:2" ht="18.75" customHeight="1" x14ac:dyDescent="0.25">
      <c r="A50" s="26"/>
      <c r="B50" s="26"/>
    </row>
    <row r="51" spans="1:2" ht="18.75" customHeight="1" x14ac:dyDescent="0.25">
      <c r="A51" s="26"/>
      <c r="B51" s="26"/>
    </row>
    <row r="52" spans="1:2" ht="18.75" customHeight="1" x14ac:dyDescent="0.25">
      <c r="A52" s="26"/>
      <c r="B52" s="26"/>
    </row>
    <row r="53" spans="1:2" ht="18.75" customHeight="1" x14ac:dyDescent="0.25">
      <c r="A53" s="26"/>
      <c r="B53" s="26"/>
    </row>
    <row r="54" spans="1:2" ht="18.75" customHeight="1" x14ac:dyDescent="0.25">
      <c r="A54" s="26"/>
      <c r="B54" s="26"/>
    </row>
    <row r="55" spans="1:2" ht="18.75" customHeight="1" x14ac:dyDescent="0.25">
      <c r="A55" s="26"/>
      <c r="B55" s="26"/>
    </row>
  </sheetData>
  <mergeCells count="5">
    <mergeCell ref="K4:K6"/>
    <mergeCell ref="K8:K10"/>
    <mergeCell ref="K11:K13"/>
    <mergeCell ref="K15:K16"/>
    <mergeCell ref="K17:K21"/>
  </mergeCells>
  <phoneticPr fontId="20" type="noConversion"/>
  <printOptions horizontalCentered="1"/>
  <pageMargins left="0.75" right="0.5" top="1" bottom="1" header="0.5" footer="0.5"/>
  <pageSetup scale="74" orientation="portrait" r:id="rId1"/>
  <headerFooter alignWithMargins="0">
    <oddFooter>&amp;L&amp;F, &amp;A&amp;R&amp;D,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J23"/>
  <sheetViews>
    <sheetView workbookViewId="0">
      <pane ySplit="2" topLeftCell="A3" activePane="bottomLeft" state="frozen"/>
      <selection pane="bottomLeft"/>
    </sheetView>
  </sheetViews>
  <sheetFormatPr defaultRowHeight="12.75" x14ac:dyDescent="0.2"/>
  <cols>
    <col min="1" max="1" width="44.85546875" bestFit="1" customWidth="1"/>
    <col min="2" max="2" width="9.28515625" hidden="1" customWidth="1"/>
    <col min="3" max="3" width="10.28515625" hidden="1" customWidth="1"/>
    <col min="4" max="4" width="9.5703125" hidden="1" customWidth="1"/>
    <col min="5" max="5" width="0" hidden="1" customWidth="1"/>
    <col min="6" max="6" width="9.85546875" hidden="1" customWidth="1"/>
    <col min="7" max="8" width="10.28515625" customWidth="1"/>
    <col min="9" max="9" width="8.5703125" bestFit="1" customWidth="1"/>
    <col min="10" max="10" width="19.28515625" bestFit="1" customWidth="1"/>
  </cols>
  <sheetData>
    <row r="1" spans="1:10" ht="18.95" customHeight="1" x14ac:dyDescent="0.25">
      <c r="A1" s="260" t="s">
        <v>539</v>
      </c>
      <c r="B1" s="260"/>
      <c r="C1" s="260"/>
      <c r="D1" s="260"/>
      <c r="E1" s="260"/>
      <c r="F1" s="260"/>
      <c r="G1" s="260"/>
      <c r="H1" s="260"/>
      <c r="I1" s="260"/>
    </row>
    <row r="2" spans="1:10" ht="18.95" customHeight="1" x14ac:dyDescent="0.3">
      <c r="A2" s="109" t="s">
        <v>124</v>
      </c>
      <c r="B2" s="109">
        <v>2010</v>
      </c>
      <c r="C2" s="109">
        <v>2013</v>
      </c>
      <c r="D2" s="109">
        <v>2014</v>
      </c>
      <c r="E2" s="109">
        <v>2015</v>
      </c>
      <c r="F2" s="109">
        <v>2016</v>
      </c>
      <c r="G2" s="109">
        <v>2017</v>
      </c>
      <c r="H2" s="109">
        <v>2018</v>
      </c>
      <c r="I2" s="109">
        <v>2019</v>
      </c>
    </row>
    <row r="3" spans="1:10" ht="18.75" customHeight="1" x14ac:dyDescent="0.3">
      <c r="A3" s="109"/>
      <c r="B3" s="109"/>
      <c r="C3" s="109"/>
      <c r="D3" s="109"/>
      <c r="E3" s="109"/>
      <c r="F3" s="109"/>
      <c r="G3" s="109"/>
      <c r="H3" s="109"/>
      <c r="I3" s="109"/>
      <c r="J3" s="186"/>
    </row>
    <row r="4" spans="1:10" ht="24.95" customHeight="1" x14ac:dyDescent="0.3">
      <c r="A4" s="63" t="s">
        <v>319</v>
      </c>
      <c r="B4" s="42">
        <v>600</v>
      </c>
      <c r="C4" s="42">
        <v>750</v>
      </c>
      <c r="D4" s="42">
        <v>800</v>
      </c>
      <c r="E4" s="42">
        <v>1000</v>
      </c>
      <c r="F4" s="676">
        <v>1200</v>
      </c>
      <c r="G4" s="676">
        <v>1200</v>
      </c>
      <c r="H4" s="676">
        <v>2000</v>
      </c>
      <c r="I4" s="676">
        <v>2000</v>
      </c>
      <c r="J4" s="850" t="s">
        <v>789</v>
      </c>
    </row>
    <row r="5" spans="1:10" ht="24.95" customHeight="1" x14ac:dyDescent="0.3">
      <c r="A5" s="845" t="s">
        <v>664</v>
      </c>
      <c r="B5" s="42">
        <v>1000</v>
      </c>
      <c r="C5" s="42">
        <v>400</v>
      </c>
      <c r="D5" s="42">
        <v>800</v>
      </c>
      <c r="E5" s="42">
        <v>1200</v>
      </c>
      <c r="F5" s="676">
        <v>1400</v>
      </c>
      <c r="G5" s="676">
        <v>1500</v>
      </c>
      <c r="H5" s="676">
        <v>1600</v>
      </c>
      <c r="I5" s="676">
        <v>2500</v>
      </c>
      <c r="J5" s="111"/>
    </row>
    <row r="6" spans="1:10" ht="24.95" customHeight="1" x14ac:dyDescent="0.3">
      <c r="A6" s="110" t="s">
        <v>722</v>
      </c>
      <c r="B6" s="551">
        <v>5600</v>
      </c>
      <c r="C6" s="551">
        <v>8000</v>
      </c>
      <c r="D6" s="551">
        <v>5000</v>
      </c>
      <c r="E6" s="551">
        <v>8000</v>
      </c>
      <c r="F6" s="721">
        <v>12000</v>
      </c>
      <c r="G6" s="721">
        <f>(400*4)+(400*3)+(300*5*4)+(100*5*4)</f>
        <v>10800</v>
      </c>
      <c r="H6" s="721">
        <f>(650*4)+(300*5*4)+(100*5*4)</f>
        <v>10600</v>
      </c>
      <c r="I6" s="721">
        <f>(750*3)+(350*5*3)+(60*5*3)</f>
        <v>8400</v>
      </c>
      <c r="J6" s="111" t="s">
        <v>719</v>
      </c>
    </row>
    <row r="7" spans="1:10" ht="24.95" customHeight="1" x14ac:dyDescent="0.3">
      <c r="A7" s="63" t="s">
        <v>632</v>
      </c>
      <c r="B7" s="42">
        <v>400</v>
      </c>
      <c r="C7" s="42">
        <v>300</v>
      </c>
      <c r="D7" s="42">
        <v>400</v>
      </c>
      <c r="E7" s="42">
        <v>500</v>
      </c>
      <c r="F7" s="676">
        <v>600</v>
      </c>
      <c r="G7" s="676">
        <v>500</v>
      </c>
      <c r="H7" s="676">
        <v>600</v>
      </c>
      <c r="I7" s="676">
        <v>1200</v>
      </c>
      <c r="J7" s="111"/>
    </row>
    <row r="8" spans="1:10" ht="24.95" hidden="1" customHeight="1" x14ac:dyDescent="0.3">
      <c r="A8" s="54" t="s">
        <v>318</v>
      </c>
      <c r="B8" s="49">
        <v>350</v>
      </c>
      <c r="C8" s="49">
        <v>350</v>
      </c>
      <c r="D8" s="49">
        <v>0</v>
      </c>
      <c r="E8" s="49">
        <v>0</v>
      </c>
      <c r="F8" s="728"/>
      <c r="G8" s="728"/>
      <c r="H8" s="728"/>
      <c r="I8" s="728"/>
      <c r="J8" s="111"/>
    </row>
    <row r="9" spans="1:10" ht="24.95" customHeight="1" x14ac:dyDescent="0.3">
      <c r="A9" s="846" t="s">
        <v>659</v>
      </c>
      <c r="B9" s="551">
        <v>800</v>
      </c>
      <c r="C9" s="551">
        <v>1000</v>
      </c>
      <c r="D9" s="551">
        <v>1200</v>
      </c>
      <c r="E9" s="551">
        <v>1200</v>
      </c>
      <c r="F9" s="721">
        <v>2500</v>
      </c>
      <c r="G9" s="721">
        <v>3000</v>
      </c>
      <c r="H9" s="721">
        <f>(250*6)+(250*4*6)+(55*4*6)</f>
        <v>8820</v>
      </c>
      <c r="I9" s="721">
        <f>(275*6)+(275*4*6)+(60*4*6)</f>
        <v>9690</v>
      </c>
      <c r="J9" s="111" t="s">
        <v>723</v>
      </c>
    </row>
    <row r="10" spans="1:10" ht="24.95" hidden="1" customHeight="1" x14ac:dyDescent="0.3">
      <c r="A10" s="110" t="s">
        <v>322</v>
      </c>
      <c r="B10" s="551"/>
      <c r="C10" s="551">
        <v>200</v>
      </c>
      <c r="D10" s="551">
        <v>200</v>
      </c>
      <c r="E10" s="551"/>
      <c r="F10" s="721"/>
      <c r="G10" s="721"/>
      <c r="H10" s="721"/>
      <c r="I10" s="721"/>
      <c r="J10" s="111" t="s">
        <v>357</v>
      </c>
    </row>
    <row r="11" spans="1:10" ht="24.95" hidden="1" customHeight="1" x14ac:dyDescent="0.3">
      <c r="A11" s="110" t="s">
        <v>320</v>
      </c>
      <c r="B11" s="551">
        <v>250</v>
      </c>
      <c r="C11" s="551">
        <v>200</v>
      </c>
      <c r="D11" s="551">
        <v>300</v>
      </c>
      <c r="E11" s="551">
        <v>300</v>
      </c>
      <c r="F11" s="721"/>
      <c r="G11" s="721"/>
      <c r="H11" s="721"/>
      <c r="I11" s="721"/>
      <c r="J11" s="850" t="s">
        <v>475</v>
      </c>
    </row>
    <row r="12" spans="1:10" ht="24.95" hidden="1" customHeight="1" x14ac:dyDescent="0.3">
      <c r="A12" s="110" t="s">
        <v>321</v>
      </c>
      <c r="B12" s="551">
        <v>400</v>
      </c>
      <c r="C12" s="551">
        <v>400</v>
      </c>
      <c r="D12" s="551">
        <v>400</v>
      </c>
      <c r="E12" s="551"/>
      <c r="F12" s="721"/>
      <c r="G12" s="721"/>
      <c r="H12" s="721"/>
      <c r="I12" s="721"/>
      <c r="J12" s="111" t="s">
        <v>357</v>
      </c>
    </row>
    <row r="13" spans="1:10" ht="24.95" customHeight="1" x14ac:dyDescent="0.3">
      <c r="A13" s="110" t="s">
        <v>631</v>
      </c>
      <c r="B13" s="551">
        <v>1400</v>
      </c>
      <c r="C13" s="551">
        <v>1200</v>
      </c>
      <c r="D13" s="551">
        <v>1200</v>
      </c>
      <c r="E13" s="551">
        <v>1200</v>
      </c>
      <c r="F13" s="721">
        <v>1000</v>
      </c>
      <c r="G13" s="721">
        <v>1000</v>
      </c>
      <c r="H13" s="721">
        <v>1000</v>
      </c>
      <c r="I13" s="721">
        <v>1000</v>
      </c>
      <c r="J13" s="111"/>
    </row>
    <row r="14" spans="1:10" ht="24.95" hidden="1" customHeight="1" x14ac:dyDescent="0.3">
      <c r="A14" s="851" t="s">
        <v>19</v>
      </c>
      <c r="B14" s="49">
        <v>500</v>
      </c>
      <c r="C14" s="49"/>
      <c r="D14" s="49"/>
      <c r="E14" s="551"/>
      <c r="F14" s="721"/>
      <c r="G14" s="721"/>
      <c r="H14" s="721"/>
      <c r="I14" s="721"/>
      <c r="J14" s="111"/>
    </row>
    <row r="15" spans="1:10" ht="24.95" customHeight="1" x14ac:dyDescent="0.3">
      <c r="A15" s="110" t="s">
        <v>633</v>
      </c>
      <c r="B15" s="551">
        <v>2600</v>
      </c>
      <c r="C15" s="551">
        <v>3000</v>
      </c>
      <c r="D15" s="551">
        <v>3000</v>
      </c>
      <c r="E15" s="551">
        <f>3200+6500</f>
        <v>9700</v>
      </c>
      <c r="F15" s="721">
        <v>12000</v>
      </c>
      <c r="G15" s="721">
        <v>13500</v>
      </c>
      <c r="H15" s="721">
        <v>14500</v>
      </c>
      <c r="I15" s="721">
        <v>17500</v>
      </c>
      <c r="J15" s="111" t="s">
        <v>720</v>
      </c>
    </row>
    <row r="16" spans="1:10" ht="24.95" customHeight="1" x14ac:dyDescent="0.3">
      <c r="A16" s="462" t="s">
        <v>305</v>
      </c>
      <c r="B16" s="43">
        <v>1000</v>
      </c>
      <c r="C16" s="43">
        <v>750</v>
      </c>
      <c r="D16" s="43">
        <v>1000</v>
      </c>
      <c r="E16" s="293">
        <v>2200</v>
      </c>
      <c r="F16" s="678">
        <v>3000</v>
      </c>
      <c r="G16" s="678">
        <v>3000</v>
      </c>
      <c r="H16" s="678">
        <v>5000</v>
      </c>
      <c r="I16" s="678">
        <v>5000</v>
      </c>
      <c r="J16" s="111" t="s">
        <v>678</v>
      </c>
    </row>
    <row r="17" spans="1:10" ht="24.95" customHeight="1" x14ac:dyDescent="0.3">
      <c r="A17" s="852" t="s">
        <v>581</v>
      </c>
      <c r="B17" s="43">
        <v>500</v>
      </c>
      <c r="C17" s="43"/>
      <c r="D17" s="43"/>
      <c r="E17" s="293"/>
      <c r="F17" s="678">
        <v>4000</v>
      </c>
      <c r="G17" s="678">
        <v>6000</v>
      </c>
      <c r="H17" s="678">
        <v>6000</v>
      </c>
      <c r="I17" s="678">
        <v>6000</v>
      </c>
      <c r="J17" s="111" t="s">
        <v>724</v>
      </c>
    </row>
    <row r="18" spans="1:10" ht="24.95" customHeight="1" x14ac:dyDescent="0.3">
      <c r="A18" s="851" t="s">
        <v>587</v>
      </c>
      <c r="B18" s="42"/>
      <c r="C18" s="42"/>
      <c r="D18" s="42"/>
      <c r="E18" s="42"/>
      <c r="F18" s="676">
        <v>1500</v>
      </c>
      <c r="G18" s="676">
        <v>2500</v>
      </c>
      <c r="H18" s="676">
        <v>3800</v>
      </c>
      <c r="I18" s="676">
        <v>3500</v>
      </c>
      <c r="J18" s="111" t="s">
        <v>721</v>
      </c>
    </row>
    <row r="19" spans="1:10" ht="24.95" customHeight="1" x14ac:dyDescent="0.3">
      <c r="A19" s="851" t="s">
        <v>665</v>
      </c>
      <c r="B19" s="42"/>
      <c r="C19" s="42"/>
      <c r="D19" s="42"/>
      <c r="E19" s="42"/>
      <c r="F19" s="676"/>
      <c r="G19" s="676">
        <f>(285*2)+(3*175*2)+(2*400)</f>
        <v>2420</v>
      </c>
      <c r="H19" s="676">
        <v>1500</v>
      </c>
      <c r="I19" s="676">
        <v>1200</v>
      </c>
      <c r="J19" s="111"/>
    </row>
    <row r="20" spans="1:10" ht="24.95" customHeight="1" x14ac:dyDescent="0.3">
      <c r="A20" s="851" t="s">
        <v>670</v>
      </c>
      <c r="B20" s="42"/>
      <c r="C20" s="42"/>
      <c r="D20" s="42"/>
      <c r="E20" s="42"/>
      <c r="F20" s="676"/>
      <c r="G20" s="676"/>
      <c r="H20" s="676">
        <f>450+(200*2)+(60*3)</f>
        <v>1030</v>
      </c>
      <c r="I20" s="676">
        <f>475+(220*2)+(60*3)</f>
        <v>1095</v>
      </c>
      <c r="J20" s="111" t="s">
        <v>442</v>
      </c>
    </row>
    <row r="21" spans="1:10" ht="24.95" customHeight="1" thickBot="1" x14ac:dyDescent="0.35">
      <c r="A21" s="853"/>
      <c r="B21" s="43">
        <v>-4500</v>
      </c>
      <c r="C21" s="43"/>
      <c r="D21" s="43"/>
      <c r="E21" s="43"/>
      <c r="F21" s="677"/>
      <c r="G21" s="677"/>
      <c r="H21" s="677"/>
      <c r="I21" s="677"/>
      <c r="J21" s="111"/>
    </row>
    <row r="22" spans="1:10" ht="24.95" customHeight="1" x14ac:dyDescent="0.3">
      <c r="A22" s="221" t="s">
        <v>122</v>
      </c>
      <c r="B22" s="854">
        <f t="shared" ref="B22:H22" si="0">SUM(B3:B21)</f>
        <v>10900</v>
      </c>
      <c r="C22" s="854">
        <f t="shared" si="0"/>
        <v>16550</v>
      </c>
      <c r="D22" s="854">
        <f t="shared" si="0"/>
        <v>14300</v>
      </c>
      <c r="E22" s="854">
        <f t="shared" si="0"/>
        <v>25300</v>
      </c>
      <c r="F22" s="855">
        <f t="shared" si="0"/>
        <v>39200</v>
      </c>
      <c r="G22" s="855">
        <f t="shared" ref="G22" si="1">SUM(G3:G21)</f>
        <v>45420</v>
      </c>
      <c r="H22" s="855">
        <f t="shared" si="0"/>
        <v>56450</v>
      </c>
      <c r="I22" s="855">
        <f t="shared" ref="I22" si="2">SUM(I3:I21)</f>
        <v>59085</v>
      </c>
      <c r="J22" s="186"/>
    </row>
    <row r="23" spans="1:10" x14ac:dyDescent="0.2">
      <c r="A23" s="261"/>
      <c r="B23" s="24"/>
      <c r="C23" s="24"/>
      <c r="D23" s="24"/>
      <c r="E23" s="24"/>
      <c r="F23" s="24"/>
      <c r="G23" s="24"/>
      <c r="H23" s="24"/>
      <c r="I23" s="249"/>
    </row>
  </sheetData>
  <sortState ref="A4:E5">
    <sortCondition ref="A4:A5"/>
  </sortState>
  <phoneticPr fontId="20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35"/>
  <sheetViews>
    <sheetView zoomScaleNormal="100" workbookViewId="0"/>
  </sheetViews>
  <sheetFormatPr defaultRowHeight="18.75" customHeight="1" x14ac:dyDescent="0.2"/>
  <cols>
    <col min="1" max="1" width="51.28515625" style="3" bestFit="1" customWidth="1"/>
    <col min="2" max="6" width="10.42578125" style="1" hidden="1" customWidth="1"/>
    <col min="7" max="7" width="11.7109375" style="1" customWidth="1"/>
    <col min="8" max="8" width="11.7109375" style="1" bestFit="1" customWidth="1"/>
    <col min="9" max="16384" width="9.140625" style="1"/>
  </cols>
  <sheetData>
    <row r="1" spans="1:9" s="2" customFormat="1" ht="18.75" customHeight="1" x14ac:dyDescent="0.25">
      <c r="A1" s="260" t="s">
        <v>276</v>
      </c>
      <c r="B1" s="87"/>
      <c r="C1" s="87"/>
      <c r="D1" s="87"/>
      <c r="E1" s="87"/>
      <c r="F1" s="87"/>
      <c r="G1" s="87"/>
      <c r="H1" s="87"/>
      <c r="I1" s="87"/>
    </row>
    <row r="2" spans="1:9" ht="12.75" customHeight="1" x14ac:dyDescent="0.2">
      <c r="A2" s="31"/>
      <c r="B2" s="23"/>
      <c r="C2" s="23"/>
      <c r="D2" s="30"/>
      <c r="E2" s="350"/>
      <c r="F2" s="350"/>
      <c r="G2" s="350"/>
      <c r="H2" s="350"/>
      <c r="I2" s="350"/>
    </row>
    <row r="3" spans="1:9" s="2" customFormat="1" ht="16.5" x14ac:dyDescent="0.3">
      <c r="A3" s="41" t="s">
        <v>124</v>
      </c>
      <c r="B3" s="99">
        <v>2010</v>
      </c>
      <c r="C3" s="99">
        <v>2013</v>
      </c>
      <c r="D3" s="99">
        <v>2014</v>
      </c>
      <c r="E3" s="99">
        <v>2015</v>
      </c>
      <c r="F3" s="99">
        <v>2016</v>
      </c>
      <c r="G3" s="99">
        <v>2017</v>
      </c>
      <c r="H3" s="99">
        <v>2018</v>
      </c>
      <c r="I3" s="99">
        <v>2019</v>
      </c>
    </row>
    <row r="4" spans="1:9" s="6" customFormat="1" ht="16.5" x14ac:dyDescent="0.3">
      <c r="A4" s="101"/>
      <c r="B4" s="114"/>
      <c r="C4" s="114"/>
      <c r="D4" s="114"/>
      <c r="E4" s="114"/>
      <c r="F4" s="727"/>
      <c r="G4" s="727"/>
      <c r="H4" s="727"/>
      <c r="I4" s="727"/>
    </row>
    <row r="5" spans="1:9" ht="18.75" customHeight="1" x14ac:dyDescent="0.3">
      <c r="A5" s="63" t="s">
        <v>267</v>
      </c>
      <c r="B5" s="49">
        <v>6925</v>
      </c>
      <c r="C5" s="49">
        <v>6500</v>
      </c>
      <c r="D5" s="49">
        <v>6500</v>
      </c>
      <c r="E5" s="49">
        <v>4500</v>
      </c>
      <c r="F5" s="728">
        <v>4500</v>
      </c>
      <c r="G5" s="728">
        <v>4100</v>
      </c>
      <c r="H5" s="728">
        <v>4100</v>
      </c>
      <c r="I5" s="728">
        <v>4000</v>
      </c>
    </row>
    <row r="6" spans="1:9" ht="18.75" customHeight="1" x14ac:dyDescent="0.3">
      <c r="A6" s="63" t="s">
        <v>769</v>
      </c>
      <c r="B6" s="36">
        <v>725</v>
      </c>
      <c r="C6" s="36">
        <v>1500</v>
      </c>
      <c r="D6" s="36">
        <v>1200</v>
      </c>
      <c r="E6" s="36">
        <v>1200</v>
      </c>
      <c r="F6" s="733">
        <v>1200</v>
      </c>
      <c r="G6" s="733">
        <v>1200</v>
      </c>
      <c r="H6" s="733">
        <v>1200</v>
      </c>
      <c r="I6" s="733">
        <v>1400</v>
      </c>
    </row>
    <row r="7" spans="1:9" ht="18.75" customHeight="1" x14ac:dyDescent="0.3">
      <c r="A7" s="63" t="s">
        <v>275</v>
      </c>
      <c r="B7" s="49">
        <v>4500</v>
      </c>
      <c r="C7" s="49">
        <v>3500</v>
      </c>
      <c r="D7" s="49">
        <v>3600</v>
      </c>
      <c r="E7" s="49">
        <v>3600</v>
      </c>
      <c r="F7" s="728">
        <v>3600</v>
      </c>
      <c r="G7" s="728">
        <v>3600</v>
      </c>
      <c r="H7" s="728">
        <v>3600</v>
      </c>
      <c r="I7" s="728">
        <v>4500</v>
      </c>
    </row>
    <row r="8" spans="1:9" s="2" customFormat="1" ht="18.75" customHeight="1" x14ac:dyDescent="0.3">
      <c r="A8" s="63" t="s">
        <v>296</v>
      </c>
      <c r="B8" s="49">
        <v>4000</v>
      </c>
      <c r="C8" s="49">
        <v>3000</v>
      </c>
      <c r="D8" s="49">
        <v>3000</v>
      </c>
      <c r="E8" s="49">
        <v>3000</v>
      </c>
      <c r="F8" s="728">
        <v>3000</v>
      </c>
      <c r="G8" s="728">
        <v>3000</v>
      </c>
      <c r="H8" s="728">
        <v>3000</v>
      </c>
      <c r="I8" s="728">
        <v>3500</v>
      </c>
    </row>
    <row r="9" spans="1:9" s="2" customFormat="1" ht="18.75" customHeight="1" x14ac:dyDescent="0.3">
      <c r="A9" s="63" t="s">
        <v>295</v>
      </c>
      <c r="B9" s="49">
        <v>2000</v>
      </c>
      <c r="C9" s="49">
        <v>2500</v>
      </c>
      <c r="D9" s="49">
        <v>2000</v>
      </c>
      <c r="E9" s="49">
        <v>2000</v>
      </c>
      <c r="F9" s="728">
        <v>2000</v>
      </c>
      <c r="G9" s="728">
        <v>2000</v>
      </c>
      <c r="H9" s="728">
        <v>2000</v>
      </c>
      <c r="I9" s="728">
        <v>2200</v>
      </c>
    </row>
    <row r="10" spans="1:9" s="2" customFormat="1" ht="18.75" customHeight="1" x14ac:dyDescent="0.3">
      <c r="A10" s="63" t="s">
        <v>266</v>
      </c>
      <c r="B10" s="36">
        <v>2000</v>
      </c>
      <c r="C10" s="36">
        <v>2000</v>
      </c>
      <c r="D10" s="36">
        <v>2000</v>
      </c>
      <c r="E10" s="36">
        <v>2000</v>
      </c>
      <c r="F10" s="733">
        <v>2000</v>
      </c>
      <c r="G10" s="733">
        <v>2000</v>
      </c>
      <c r="H10" s="733">
        <v>2000</v>
      </c>
      <c r="I10" s="733">
        <v>2000</v>
      </c>
    </row>
    <row r="11" spans="1:9" s="2" customFormat="1" ht="18.75" customHeight="1" x14ac:dyDescent="0.3">
      <c r="A11" s="63" t="s">
        <v>265</v>
      </c>
      <c r="B11" s="36">
        <v>2000</v>
      </c>
      <c r="C11" s="36">
        <v>2500</v>
      </c>
      <c r="D11" s="36">
        <v>2200</v>
      </c>
      <c r="E11" s="795">
        <v>2200</v>
      </c>
      <c r="F11" s="783">
        <v>3000</v>
      </c>
      <c r="G11" s="783">
        <v>3000</v>
      </c>
      <c r="H11" s="783">
        <v>3000</v>
      </c>
      <c r="I11" s="783">
        <v>3000</v>
      </c>
    </row>
    <row r="12" spans="1:9" s="2" customFormat="1" ht="18.75" customHeight="1" x14ac:dyDescent="0.3">
      <c r="A12" s="63" t="s">
        <v>101</v>
      </c>
      <c r="B12" s="49">
        <v>900</v>
      </c>
      <c r="C12" s="49">
        <v>800</v>
      </c>
      <c r="D12" s="49">
        <v>500</v>
      </c>
      <c r="E12" s="551">
        <v>1000</v>
      </c>
      <c r="F12" s="721">
        <v>1000</v>
      </c>
      <c r="G12" s="721">
        <v>1000</v>
      </c>
      <c r="H12" s="721">
        <v>1000</v>
      </c>
      <c r="I12" s="721">
        <v>1200</v>
      </c>
    </row>
    <row r="13" spans="1:9" ht="18.75" hidden="1" customHeight="1" x14ac:dyDescent="0.3">
      <c r="A13" s="63" t="s">
        <v>273</v>
      </c>
      <c r="B13" s="49">
        <v>34400</v>
      </c>
      <c r="C13" s="49"/>
      <c r="D13" s="49"/>
      <c r="E13" s="551"/>
      <c r="F13" s="721"/>
      <c r="G13" s="721"/>
      <c r="H13" s="721"/>
      <c r="I13" s="721"/>
    </row>
    <row r="14" spans="1:9" ht="18.75" hidden="1" customHeight="1" x14ac:dyDescent="0.3">
      <c r="A14" s="63" t="s">
        <v>293</v>
      </c>
      <c r="B14" s="49">
        <v>21840</v>
      </c>
      <c r="C14" s="49"/>
      <c r="D14" s="49"/>
      <c r="E14" s="551"/>
      <c r="F14" s="721"/>
      <c r="G14" s="721"/>
      <c r="H14" s="721"/>
      <c r="I14" s="721"/>
    </row>
    <row r="15" spans="1:9" ht="18.75" customHeight="1" x14ac:dyDescent="0.3">
      <c r="A15" s="63" t="s">
        <v>679</v>
      </c>
      <c r="B15" s="49">
        <v>7875</v>
      </c>
      <c r="C15" s="49">
        <v>10000</v>
      </c>
      <c r="D15" s="49">
        <v>11000</v>
      </c>
      <c r="E15" s="551">
        <v>10000</v>
      </c>
      <c r="F15" s="721">
        <v>12000</v>
      </c>
      <c r="G15" s="721">
        <v>14000</v>
      </c>
      <c r="H15" s="721">
        <v>14000</v>
      </c>
      <c r="I15" s="721">
        <v>9800</v>
      </c>
    </row>
    <row r="16" spans="1:9" ht="18.75" customHeight="1" x14ac:dyDescent="0.3">
      <c r="A16" s="63" t="s">
        <v>541</v>
      </c>
      <c r="B16" s="49">
        <v>6500</v>
      </c>
      <c r="C16" s="49">
        <v>6000</v>
      </c>
      <c r="D16" s="49">
        <v>6000</v>
      </c>
      <c r="E16" s="551">
        <v>4000</v>
      </c>
      <c r="F16" s="721">
        <v>4000</v>
      </c>
      <c r="G16" s="721">
        <v>4000</v>
      </c>
      <c r="H16" s="721">
        <v>5000</v>
      </c>
      <c r="I16" s="721">
        <v>5000</v>
      </c>
    </row>
    <row r="17" spans="1:9" ht="18.75" hidden="1" customHeight="1" x14ac:dyDescent="0.3">
      <c r="A17" s="63" t="s">
        <v>288</v>
      </c>
      <c r="B17" s="49">
        <v>500</v>
      </c>
      <c r="C17" s="49"/>
      <c r="D17" s="49"/>
      <c r="E17" s="551"/>
      <c r="F17" s="721"/>
      <c r="G17" s="721"/>
      <c r="H17" s="721"/>
      <c r="I17" s="721"/>
    </row>
    <row r="18" spans="1:9" ht="18.75" hidden="1" customHeight="1" x14ac:dyDescent="0.3">
      <c r="A18" s="63" t="s">
        <v>262</v>
      </c>
      <c r="B18" s="49">
        <v>1250</v>
      </c>
      <c r="C18" s="49"/>
      <c r="D18" s="49"/>
      <c r="E18" s="551"/>
      <c r="F18" s="721"/>
      <c r="G18" s="721"/>
      <c r="H18" s="721"/>
      <c r="I18" s="721"/>
    </row>
    <row r="19" spans="1:9" ht="18.75" customHeight="1" x14ac:dyDescent="0.3">
      <c r="A19" s="63" t="s">
        <v>725</v>
      </c>
      <c r="B19" s="49"/>
      <c r="C19" s="49">
        <v>1200</v>
      </c>
      <c r="D19" s="49">
        <v>1200</v>
      </c>
      <c r="E19" s="551">
        <v>600</v>
      </c>
      <c r="F19" s="721">
        <v>600</v>
      </c>
      <c r="G19" s="721">
        <v>600</v>
      </c>
      <c r="H19" s="721">
        <v>600</v>
      </c>
      <c r="I19" s="721">
        <v>750</v>
      </c>
    </row>
    <row r="20" spans="1:9" ht="18.75" customHeight="1" x14ac:dyDescent="0.3">
      <c r="A20" s="63" t="s">
        <v>263</v>
      </c>
      <c r="B20" s="49">
        <v>5367</v>
      </c>
      <c r="C20" s="49">
        <v>2500</v>
      </c>
      <c r="D20" s="49">
        <v>2000</v>
      </c>
      <c r="E20" s="551">
        <v>2500</v>
      </c>
      <c r="F20" s="721">
        <v>2500</v>
      </c>
      <c r="G20" s="721">
        <v>2500</v>
      </c>
      <c r="H20" s="721">
        <v>1500</v>
      </c>
      <c r="I20" s="721">
        <v>1500</v>
      </c>
    </row>
    <row r="21" spans="1:9" ht="18.75" customHeight="1" x14ac:dyDescent="0.3">
      <c r="A21" s="63" t="s">
        <v>274</v>
      </c>
      <c r="B21" s="49">
        <v>250</v>
      </c>
      <c r="C21" s="49">
        <v>650</v>
      </c>
      <c r="D21" s="49">
        <v>650</v>
      </c>
      <c r="E21" s="551">
        <v>750</v>
      </c>
      <c r="F21" s="721">
        <v>750</v>
      </c>
      <c r="G21" s="721">
        <v>750</v>
      </c>
      <c r="H21" s="721">
        <v>750</v>
      </c>
      <c r="I21" s="721">
        <v>1000</v>
      </c>
    </row>
    <row r="22" spans="1:9" ht="18.75" hidden="1" customHeight="1" x14ac:dyDescent="0.3">
      <c r="A22" s="63" t="s">
        <v>294</v>
      </c>
      <c r="B22" s="49">
        <v>2000</v>
      </c>
      <c r="C22" s="49">
        <v>1000</v>
      </c>
      <c r="D22" s="49">
        <v>750</v>
      </c>
      <c r="E22" s="49" t="s">
        <v>540</v>
      </c>
      <c r="F22" s="728" t="s">
        <v>540</v>
      </c>
      <c r="G22" s="728"/>
      <c r="H22" s="728"/>
      <c r="I22" s="728"/>
    </row>
    <row r="23" spans="1:9" ht="18.75" customHeight="1" x14ac:dyDescent="0.3">
      <c r="A23" s="63" t="s">
        <v>372</v>
      </c>
      <c r="B23" s="49">
        <v>700</v>
      </c>
      <c r="C23" s="49">
        <v>750</v>
      </c>
      <c r="D23" s="49">
        <v>750</v>
      </c>
      <c r="E23" s="49">
        <v>750</v>
      </c>
      <c r="F23" s="728">
        <v>750</v>
      </c>
      <c r="G23" s="728">
        <v>750</v>
      </c>
      <c r="H23" s="728">
        <v>750</v>
      </c>
      <c r="I23" s="728">
        <v>3000</v>
      </c>
    </row>
    <row r="24" spans="1:9" ht="18.75" hidden="1" customHeight="1" x14ac:dyDescent="0.3">
      <c r="A24" s="63" t="s">
        <v>102</v>
      </c>
      <c r="B24" s="49">
        <v>10625</v>
      </c>
      <c r="C24" s="49">
        <v>2500</v>
      </c>
      <c r="D24" s="49">
        <v>3500</v>
      </c>
      <c r="E24" s="49">
        <v>0</v>
      </c>
      <c r="F24" s="728">
        <v>0</v>
      </c>
      <c r="G24" s="728">
        <v>0</v>
      </c>
      <c r="H24" s="728">
        <v>0</v>
      </c>
      <c r="I24" s="728">
        <v>0</v>
      </c>
    </row>
    <row r="25" spans="1:9" ht="18.75" hidden="1" customHeight="1" x14ac:dyDescent="0.3">
      <c r="A25" s="63" t="s">
        <v>103</v>
      </c>
      <c r="B25" s="49">
        <v>4725</v>
      </c>
      <c r="C25" s="49">
        <v>5700</v>
      </c>
      <c r="D25" s="49">
        <v>6200</v>
      </c>
      <c r="E25" s="551">
        <v>15000</v>
      </c>
      <c r="F25" s="721">
        <v>15000</v>
      </c>
      <c r="G25" s="721">
        <v>0</v>
      </c>
      <c r="H25" s="721">
        <v>0</v>
      </c>
      <c r="I25" s="721">
        <v>0</v>
      </c>
    </row>
    <row r="26" spans="1:9" ht="18.75" customHeight="1" x14ac:dyDescent="0.3">
      <c r="A26" s="63" t="s">
        <v>104</v>
      </c>
      <c r="B26" s="49">
        <v>200</v>
      </c>
      <c r="C26" s="49">
        <v>250</v>
      </c>
      <c r="D26" s="49">
        <v>350</v>
      </c>
      <c r="E26" s="49">
        <v>400</v>
      </c>
      <c r="F26" s="728">
        <v>400</v>
      </c>
      <c r="G26" s="728">
        <v>400</v>
      </c>
      <c r="H26" s="728">
        <v>800</v>
      </c>
      <c r="I26" s="728">
        <v>800</v>
      </c>
    </row>
    <row r="27" spans="1:9" ht="18.75" customHeight="1" x14ac:dyDescent="0.3">
      <c r="A27" s="63" t="s">
        <v>264</v>
      </c>
      <c r="B27" s="49">
        <v>3000</v>
      </c>
      <c r="C27" s="49">
        <v>3500</v>
      </c>
      <c r="D27" s="49">
        <v>3500</v>
      </c>
      <c r="E27" s="49">
        <v>2500</v>
      </c>
      <c r="F27" s="728">
        <v>2500</v>
      </c>
      <c r="G27" s="728">
        <v>2500</v>
      </c>
      <c r="H27" s="728">
        <v>2500</v>
      </c>
      <c r="I27" s="728">
        <v>2500</v>
      </c>
    </row>
    <row r="28" spans="1:9" ht="18.75" customHeight="1" x14ac:dyDescent="0.3">
      <c r="A28" s="63" t="s">
        <v>638</v>
      </c>
      <c r="B28" s="49"/>
      <c r="C28" s="49"/>
      <c r="D28" s="49"/>
      <c r="E28" s="49"/>
      <c r="F28" s="728"/>
      <c r="G28" s="728">
        <v>4000</v>
      </c>
      <c r="H28" s="728">
        <v>7000</v>
      </c>
      <c r="I28" s="728">
        <v>7000</v>
      </c>
    </row>
    <row r="29" spans="1:9" ht="18.75" customHeight="1" x14ac:dyDescent="0.3">
      <c r="A29" s="63" t="s">
        <v>680</v>
      </c>
      <c r="B29" s="49"/>
      <c r="C29" s="49"/>
      <c r="D29" s="49"/>
      <c r="E29" s="49"/>
      <c r="F29" s="728">
        <v>0</v>
      </c>
      <c r="G29" s="728">
        <v>0</v>
      </c>
      <c r="H29" s="728">
        <v>2000</v>
      </c>
      <c r="I29" s="728">
        <v>1000</v>
      </c>
    </row>
    <row r="30" spans="1:9" ht="18.75" customHeight="1" x14ac:dyDescent="0.3">
      <c r="A30" s="63" t="s">
        <v>681</v>
      </c>
      <c r="B30" s="49"/>
      <c r="C30" s="49"/>
      <c r="D30" s="49"/>
      <c r="E30" s="49"/>
      <c r="F30" s="728">
        <v>0</v>
      </c>
      <c r="G30" s="728">
        <v>0</v>
      </c>
      <c r="H30" s="728">
        <v>2500</v>
      </c>
      <c r="I30" s="728">
        <v>0</v>
      </c>
    </row>
    <row r="31" spans="1:9" ht="18.75" customHeight="1" x14ac:dyDescent="0.3">
      <c r="A31" s="63" t="s">
        <v>770</v>
      </c>
      <c r="B31" s="49"/>
      <c r="C31" s="49"/>
      <c r="D31" s="49"/>
      <c r="E31" s="49"/>
      <c r="F31" s="728"/>
      <c r="G31" s="728"/>
      <c r="H31" s="728"/>
      <c r="I31" s="728">
        <v>1500</v>
      </c>
    </row>
    <row r="32" spans="1:9" ht="18.75" customHeight="1" thickBot="1" x14ac:dyDescent="0.35">
      <c r="A32" s="63"/>
      <c r="B32" s="49"/>
      <c r="C32" s="49"/>
      <c r="D32" s="49"/>
      <c r="E32" s="49"/>
      <c r="F32" s="728"/>
      <c r="G32" s="728"/>
      <c r="H32" s="728"/>
      <c r="I32" s="728"/>
    </row>
    <row r="33" spans="1:9" ht="18.75" customHeight="1" thickTop="1" x14ac:dyDescent="0.3">
      <c r="A33" s="221" t="s">
        <v>122</v>
      </c>
      <c r="B33" s="89">
        <f t="shared" ref="B33:H33" si="0">SUM(B4:B32)</f>
        <v>122282</v>
      </c>
      <c r="C33" s="89">
        <f t="shared" si="0"/>
        <v>56350</v>
      </c>
      <c r="D33" s="89">
        <f t="shared" si="0"/>
        <v>56900</v>
      </c>
      <c r="E33" s="89">
        <f t="shared" si="0"/>
        <v>56000</v>
      </c>
      <c r="F33" s="760">
        <f t="shared" si="0"/>
        <v>58800</v>
      </c>
      <c r="G33" s="760">
        <f t="shared" si="0"/>
        <v>49400</v>
      </c>
      <c r="H33" s="760">
        <f t="shared" si="0"/>
        <v>57300</v>
      </c>
      <c r="I33" s="760">
        <f t="shared" ref="I33" si="1">SUM(I4:I32)</f>
        <v>55650</v>
      </c>
    </row>
    <row r="34" spans="1:9" ht="18.75" customHeight="1" x14ac:dyDescent="0.2">
      <c r="A34" s="127"/>
      <c r="B34" s="96"/>
      <c r="C34" s="96"/>
    </row>
    <row r="35" spans="1:9" ht="18.75" customHeight="1" x14ac:dyDescent="0.2">
      <c r="A35" s="985" t="s">
        <v>771</v>
      </c>
    </row>
  </sheetData>
  <sortState ref="A6:E27">
    <sortCondition ref="A6:A27"/>
  </sortState>
  <phoneticPr fontId="20" type="noConversion"/>
  <printOptions horizontalCentered="1"/>
  <pageMargins left="0.75" right="0.5" top="0.75" bottom="0.5" header="0.5" footer="0.5"/>
  <pageSetup orientation="portrait" r:id="rId1"/>
  <headerFooter alignWithMargins="0">
    <oddFooter>&amp;L&amp;F, 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30"/>
  <sheetViews>
    <sheetView zoomScaleNormal="100" workbookViewId="0"/>
  </sheetViews>
  <sheetFormatPr defaultRowHeight="18.75" customHeight="1" x14ac:dyDescent="0.3"/>
  <cols>
    <col min="1" max="1" width="35.85546875" style="97" customWidth="1"/>
    <col min="2" max="2" width="13.140625" style="27" hidden="1" customWidth="1"/>
    <col min="3" max="4" width="11.7109375" style="27" hidden="1" customWidth="1"/>
    <col min="5" max="6" width="11" style="27" hidden="1" customWidth="1"/>
    <col min="7" max="7" width="11" style="27" customWidth="1"/>
    <col min="8" max="8" width="11" style="27" bestFit="1" customWidth="1"/>
    <col min="9" max="16384" width="9.140625" style="27"/>
  </cols>
  <sheetData>
    <row r="1" spans="1:9" s="46" customFormat="1" ht="21.75" customHeight="1" x14ac:dyDescent="0.3">
      <c r="A1" s="260" t="s">
        <v>285</v>
      </c>
      <c r="B1" s="203"/>
      <c r="C1" s="203"/>
      <c r="D1" s="203"/>
      <c r="E1" s="203"/>
      <c r="F1" s="203"/>
      <c r="G1" s="203"/>
      <c r="H1" s="203"/>
      <c r="I1" s="203"/>
    </row>
    <row r="2" spans="1:9" ht="12.75" customHeight="1" x14ac:dyDescent="0.3">
      <c r="A2" s="98"/>
      <c r="B2" s="49"/>
      <c r="C2" s="49"/>
      <c r="D2" s="49"/>
      <c r="E2" s="49"/>
      <c r="F2" s="49"/>
      <c r="G2" s="49"/>
      <c r="H2" s="49"/>
      <c r="I2" s="49"/>
    </row>
    <row r="3" spans="1:9" s="46" customFormat="1" ht="18.75" customHeight="1" x14ac:dyDescent="0.3">
      <c r="A3" s="41" t="s">
        <v>124</v>
      </c>
      <c r="B3" s="99">
        <v>2010</v>
      </c>
      <c r="C3" s="99">
        <v>2013</v>
      </c>
      <c r="D3" s="99">
        <v>2014</v>
      </c>
      <c r="E3" s="99">
        <v>2015</v>
      </c>
      <c r="F3" s="99">
        <v>2016</v>
      </c>
      <c r="G3" s="99">
        <v>2017</v>
      </c>
      <c r="H3" s="99">
        <v>2018</v>
      </c>
      <c r="I3" s="99">
        <v>2019</v>
      </c>
    </row>
    <row r="4" spans="1:9" s="123" customFormat="1" ht="16.5" customHeight="1" x14ac:dyDescent="0.3">
      <c r="A4" s="98"/>
      <c r="B4" s="130"/>
      <c r="C4" s="130"/>
      <c r="D4" s="130"/>
      <c r="E4" s="130"/>
      <c r="F4" s="727"/>
      <c r="G4" s="727"/>
      <c r="H4" s="727"/>
      <c r="I4" s="727"/>
    </row>
    <row r="5" spans="1:9" s="123" customFormat="1" ht="15.75" customHeight="1" x14ac:dyDescent="0.3">
      <c r="A5" s="116" t="s">
        <v>291</v>
      </c>
      <c r="B5" s="130"/>
      <c r="C5" s="130"/>
      <c r="D5" s="130"/>
      <c r="E5" s="130"/>
      <c r="F5" s="727"/>
      <c r="G5" s="727"/>
      <c r="H5" s="727"/>
      <c r="I5" s="727"/>
    </row>
    <row r="6" spans="1:9" s="46" customFormat="1" ht="18.75" customHeight="1" x14ac:dyDescent="0.3">
      <c r="A6" s="63" t="s">
        <v>286</v>
      </c>
      <c r="B6" s="53">
        <v>4300</v>
      </c>
      <c r="C6" s="53">
        <v>5600</v>
      </c>
      <c r="D6" s="53">
        <f>100*52</f>
        <v>5200</v>
      </c>
      <c r="E6" s="53">
        <v>3500</v>
      </c>
      <c r="F6" s="728">
        <v>2000</v>
      </c>
      <c r="G6" s="728">
        <v>3000</v>
      </c>
      <c r="H6" s="728">
        <v>3000</v>
      </c>
      <c r="I6" s="728">
        <v>4500</v>
      </c>
    </row>
    <row r="7" spans="1:9" s="46" customFormat="1" ht="18.75" hidden="1" customHeight="1" x14ac:dyDescent="0.3">
      <c r="A7" s="63" t="s">
        <v>330</v>
      </c>
      <c r="B7" s="53">
        <v>15000</v>
      </c>
      <c r="C7" s="53"/>
      <c r="D7" s="53"/>
      <c r="E7" s="53"/>
      <c r="F7" s="728"/>
      <c r="G7" s="728"/>
      <c r="H7" s="728"/>
      <c r="I7" s="728"/>
    </row>
    <row r="8" spans="1:9" s="46" customFormat="1" ht="18.75" hidden="1" customHeight="1" x14ac:dyDescent="0.3">
      <c r="A8" s="63" t="s">
        <v>373</v>
      </c>
      <c r="B8" s="53"/>
      <c r="C8" s="53"/>
      <c r="D8" s="53"/>
      <c r="E8" s="53"/>
      <c r="F8" s="728"/>
      <c r="G8" s="728"/>
      <c r="H8" s="728"/>
      <c r="I8" s="728"/>
    </row>
    <row r="9" spans="1:9" ht="18.75" customHeight="1" x14ac:dyDescent="0.3">
      <c r="A9" s="63" t="s">
        <v>271</v>
      </c>
      <c r="B9" s="53">
        <v>1000</v>
      </c>
      <c r="C9" s="53">
        <v>450</v>
      </c>
      <c r="D9" s="53">
        <v>200</v>
      </c>
      <c r="E9" s="53">
        <v>200</v>
      </c>
      <c r="F9" s="728">
        <v>200</v>
      </c>
      <c r="G9" s="728">
        <v>300</v>
      </c>
      <c r="H9" s="728">
        <v>300</v>
      </c>
      <c r="I9" s="728">
        <v>450</v>
      </c>
    </row>
    <row r="10" spans="1:9" ht="18.75" customHeight="1" x14ac:dyDescent="0.3">
      <c r="A10" s="63" t="s">
        <v>270</v>
      </c>
      <c r="B10" s="53">
        <v>1500</v>
      </c>
      <c r="C10" s="53">
        <v>1000</v>
      </c>
      <c r="D10" s="53">
        <v>1500</v>
      </c>
      <c r="E10" s="53">
        <v>1000</v>
      </c>
      <c r="F10" s="728">
        <v>1000</v>
      </c>
      <c r="G10" s="728">
        <v>1000</v>
      </c>
      <c r="H10" s="728">
        <v>1000</v>
      </c>
      <c r="I10" s="728">
        <v>1200</v>
      </c>
    </row>
    <row r="11" spans="1:9" ht="18.75" hidden="1" customHeight="1" x14ac:dyDescent="0.3">
      <c r="A11" s="63" t="s">
        <v>288</v>
      </c>
      <c r="B11" s="53">
        <v>600</v>
      </c>
      <c r="C11" s="53"/>
      <c r="D11" s="53"/>
      <c r="E11" s="53"/>
      <c r="F11" s="728"/>
      <c r="G11" s="728"/>
      <c r="H11" s="728"/>
      <c r="I11" s="728"/>
    </row>
    <row r="12" spans="1:9" ht="18.75" hidden="1" customHeight="1" x14ac:dyDescent="0.3">
      <c r="A12" s="63" t="s">
        <v>290</v>
      </c>
      <c r="B12" s="53">
        <v>500</v>
      </c>
      <c r="C12" s="53"/>
      <c r="D12" s="53"/>
      <c r="E12" s="53"/>
      <c r="F12" s="728"/>
      <c r="G12" s="728"/>
      <c r="H12" s="728"/>
      <c r="I12" s="728"/>
    </row>
    <row r="13" spans="1:9" ht="18.75" customHeight="1" x14ac:dyDescent="0.3">
      <c r="A13" s="63" t="s">
        <v>289</v>
      </c>
      <c r="B13" s="53">
        <v>900</v>
      </c>
      <c r="C13" s="53">
        <v>850</v>
      </c>
      <c r="D13" s="53">
        <v>850</v>
      </c>
      <c r="E13" s="53">
        <v>500</v>
      </c>
      <c r="F13" s="728">
        <v>500</v>
      </c>
      <c r="G13" s="728">
        <v>500</v>
      </c>
      <c r="H13" s="728">
        <v>500</v>
      </c>
      <c r="I13" s="728">
        <v>500</v>
      </c>
    </row>
    <row r="14" spans="1:9" ht="18.75" customHeight="1" x14ac:dyDescent="0.3">
      <c r="A14" s="63" t="s">
        <v>287</v>
      </c>
      <c r="B14" s="53">
        <v>2000</v>
      </c>
      <c r="C14" s="53">
        <v>1000</v>
      </c>
      <c r="D14" s="53">
        <v>1500</v>
      </c>
      <c r="E14" s="53">
        <v>4500</v>
      </c>
      <c r="F14" s="728">
        <v>2500</v>
      </c>
      <c r="G14" s="728">
        <v>4500</v>
      </c>
      <c r="H14" s="728">
        <v>10000</v>
      </c>
      <c r="I14" s="728">
        <v>10000</v>
      </c>
    </row>
    <row r="15" spans="1:9" ht="18.75" customHeight="1" x14ac:dyDescent="0.3">
      <c r="A15" s="575" t="s">
        <v>573</v>
      </c>
      <c r="B15" s="847"/>
      <c r="C15" s="53"/>
      <c r="D15" s="53"/>
      <c r="E15" s="53">
        <f>150*40</f>
        <v>6000</v>
      </c>
      <c r="F15" s="728">
        <v>5000</v>
      </c>
      <c r="G15" s="728">
        <v>4500</v>
      </c>
      <c r="H15" s="728">
        <v>4500</v>
      </c>
      <c r="I15" s="728">
        <v>3800</v>
      </c>
    </row>
    <row r="16" spans="1:9" ht="18.75" customHeight="1" x14ac:dyDescent="0.3">
      <c r="A16" s="363"/>
      <c r="B16" s="847"/>
      <c r="C16" s="53"/>
      <c r="D16" s="53"/>
      <c r="E16" s="53"/>
      <c r="F16" s="728"/>
      <c r="G16" s="728"/>
      <c r="H16" s="728"/>
      <c r="I16" s="728"/>
    </row>
    <row r="17" spans="1:9" ht="16.5" customHeight="1" x14ac:dyDescent="0.3">
      <c r="A17" s="55"/>
      <c r="B17" s="53"/>
      <c r="C17" s="53"/>
      <c r="D17" s="53"/>
      <c r="E17" s="53"/>
      <c r="F17" s="728"/>
      <c r="G17" s="728"/>
      <c r="H17" s="728"/>
      <c r="I17" s="728"/>
    </row>
    <row r="18" spans="1:9" ht="16.5" customHeight="1" thickBot="1" x14ac:dyDescent="0.35">
      <c r="A18" s="288"/>
      <c r="B18" s="66"/>
      <c r="C18" s="848"/>
      <c r="D18" s="848"/>
      <c r="E18" s="848"/>
      <c r="F18" s="759"/>
      <c r="G18" s="759"/>
      <c r="H18" s="759"/>
      <c r="I18" s="759"/>
    </row>
    <row r="19" spans="1:9" ht="18.75" customHeight="1" thickTop="1" x14ac:dyDescent="0.3">
      <c r="A19" s="103" t="s">
        <v>122</v>
      </c>
      <c r="B19" s="849">
        <f t="shared" ref="B19:D19" si="0">SUM(B4:B18)</f>
        <v>25800</v>
      </c>
      <c r="C19" s="849">
        <f t="shared" si="0"/>
        <v>8900</v>
      </c>
      <c r="D19" s="849">
        <f t="shared" si="0"/>
        <v>9250</v>
      </c>
      <c r="E19" s="849">
        <f>SUM(E4:E18)</f>
        <v>15700</v>
      </c>
      <c r="F19" s="760">
        <f>SUM(F4:F18)</f>
        <v>11200</v>
      </c>
      <c r="G19" s="760">
        <f>SUM(G4:G18)</f>
        <v>13800</v>
      </c>
      <c r="H19" s="760">
        <f>SUM(H4:H18)</f>
        <v>19300</v>
      </c>
      <c r="I19" s="760">
        <f>SUM(I4:I18)</f>
        <v>20450</v>
      </c>
    </row>
    <row r="20" spans="1:9" ht="8.25" customHeight="1" x14ac:dyDescent="0.3"/>
    <row r="21" spans="1:9" ht="15" customHeight="1" x14ac:dyDescent="0.3">
      <c r="A21"/>
      <c r="B21"/>
      <c r="C21"/>
      <c r="D21"/>
      <c r="E21"/>
      <c r="F21"/>
      <c r="G21"/>
      <c r="H21"/>
    </row>
    <row r="22" spans="1:9" ht="15" customHeight="1" x14ac:dyDescent="0.3">
      <c r="A22" s="984" t="s">
        <v>772</v>
      </c>
      <c r="B22"/>
      <c r="C22"/>
      <c r="D22"/>
      <c r="E22"/>
      <c r="F22"/>
      <c r="G22"/>
      <c r="H22"/>
    </row>
    <row r="23" spans="1:9" ht="15" customHeight="1" x14ac:dyDescent="0.3">
      <c r="A23"/>
      <c r="B23"/>
      <c r="C23"/>
      <c r="D23"/>
      <c r="E23"/>
      <c r="F23"/>
      <c r="G23"/>
      <c r="H23"/>
    </row>
    <row r="24" spans="1:9" ht="15" customHeight="1" x14ac:dyDescent="0.3">
      <c r="A24"/>
      <c r="B24"/>
      <c r="C24"/>
      <c r="D24"/>
      <c r="E24"/>
      <c r="F24"/>
      <c r="G24"/>
      <c r="H24"/>
    </row>
    <row r="25" spans="1:9" ht="15" customHeight="1" x14ac:dyDescent="0.3">
      <c r="A25"/>
      <c r="B25"/>
      <c r="C25"/>
      <c r="D25"/>
      <c r="E25"/>
      <c r="F25"/>
      <c r="G25"/>
      <c r="H25"/>
    </row>
    <row r="26" spans="1:9" ht="15" customHeight="1" x14ac:dyDescent="0.3">
      <c r="A26"/>
      <c r="B26"/>
      <c r="C26"/>
      <c r="D26"/>
      <c r="E26"/>
      <c r="F26"/>
      <c r="G26"/>
      <c r="H26"/>
    </row>
    <row r="27" spans="1:9" ht="15" customHeight="1" x14ac:dyDescent="0.3">
      <c r="A27"/>
      <c r="B27"/>
      <c r="C27"/>
      <c r="D27"/>
      <c r="E27"/>
      <c r="F27"/>
      <c r="G27"/>
      <c r="H27"/>
    </row>
    <row r="28" spans="1:9" ht="15" customHeight="1" x14ac:dyDescent="0.3">
      <c r="A28"/>
      <c r="B28"/>
      <c r="C28"/>
      <c r="D28"/>
      <c r="E28"/>
      <c r="F28"/>
      <c r="G28"/>
      <c r="H28"/>
    </row>
    <row r="29" spans="1:9" ht="18.75" customHeight="1" x14ac:dyDescent="0.3">
      <c r="A29"/>
      <c r="B29"/>
      <c r="C29"/>
      <c r="D29"/>
      <c r="E29"/>
      <c r="F29"/>
      <c r="G29"/>
      <c r="H29"/>
    </row>
    <row r="30" spans="1:9" ht="18.75" customHeight="1" x14ac:dyDescent="0.3">
      <c r="A30"/>
      <c r="B30"/>
      <c r="C30"/>
      <c r="D30"/>
      <c r="E30"/>
      <c r="F30"/>
      <c r="G30"/>
      <c r="H30"/>
    </row>
  </sheetData>
  <sortState ref="A14:E15">
    <sortCondition ref="A14:A15"/>
  </sortState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3"/>
  <sheetViews>
    <sheetView workbookViewId="0"/>
  </sheetViews>
  <sheetFormatPr defaultRowHeight="12.75" x14ac:dyDescent="0.2"/>
  <cols>
    <col min="1" max="1" width="39" customWidth="1"/>
    <col min="2" max="2" width="12.42578125" hidden="1" customWidth="1"/>
    <col min="3" max="5" width="12.7109375" hidden="1" customWidth="1"/>
    <col min="6" max="7" width="12.7109375" customWidth="1"/>
  </cols>
  <sheetData>
    <row r="1" spans="1:8" ht="23.25" customHeight="1" x14ac:dyDescent="0.25">
      <c r="A1" s="260" t="s">
        <v>353</v>
      </c>
      <c r="B1" s="260"/>
      <c r="C1" s="260"/>
      <c r="D1" s="260"/>
      <c r="E1" s="260"/>
      <c r="F1" s="260"/>
      <c r="G1" s="260"/>
      <c r="H1" s="260"/>
    </row>
    <row r="2" spans="1:8" ht="25.5" customHeight="1" x14ac:dyDescent="0.3">
      <c r="A2" s="109" t="s">
        <v>124</v>
      </c>
      <c r="B2" s="109">
        <v>2013</v>
      </c>
      <c r="C2" s="109">
        <v>2014</v>
      </c>
      <c r="D2" s="109">
        <v>2015</v>
      </c>
      <c r="E2" s="109">
        <v>2016</v>
      </c>
      <c r="F2" s="109">
        <v>2017</v>
      </c>
      <c r="G2" s="109">
        <v>2018</v>
      </c>
      <c r="H2" s="109">
        <v>2019</v>
      </c>
    </row>
    <row r="3" spans="1:8" ht="18.95" customHeight="1" x14ac:dyDescent="0.2">
      <c r="A3" s="276"/>
      <c r="B3" s="276"/>
      <c r="C3" s="276"/>
      <c r="D3" s="276"/>
      <c r="E3" s="745"/>
      <c r="F3" s="745"/>
      <c r="G3" s="745"/>
      <c r="H3" s="745"/>
    </row>
    <row r="4" spans="1:8" ht="18.95" customHeight="1" x14ac:dyDescent="0.3">
      <c r="A4" s="63" t="s">
        <v>354</v>
      </c>
      <c r="B4" s="549">
        <v>2100</v>
      </c>
      <c r="C4" s="549">
        <v>2300</v>
      </c>
      <c r="D4" s="549">
        <v>2300</v>
      </c>
      <c r="E4" s="675">
        <v>2300</v>
      </c>
      <c r="F4" s="675">
        <v>2300</v>
      </c>
      <c r="G4" s="675">
        <v>2300</v>
      </c>
      <c r="H4" s="675">
        <v>2400</v>
      </c>
    </row>
    <row r="5" spans="1:8" ht="22.5" customHeight="1" x14ac:dyDescent="0.3">
      <c r="A5" s="63" t="s">
        <v>358</v>
      </c>
      <c r="B5" s="42">
        <v>275</v>
      </c>
      <c r="C5" s="42">
        <v>300</v>
      </c>
      <c r="D5" s="42">
        <v>300</v>
      </c>
      <c r="E5" s="676">
        <v>300</v>
      </c>
      <c r="F5" s="676">
        <v>300</v>
      </c>
      <c r="G5" s="676">
        <v>300</v>
      </c>
      <c r="H5" s="676">
        <f>H4*0.0825</f>
        <v>198</v>
      </c>
    </row>
    <row r="6" spans="1:8" ht="18.95" customHeight="1" x14ac:dyDescent="0.3">
      <c r="A6" s="843"/>
      <c r="B6" s="42"/>
      <c r="C6" s="42"/>
      <c r="D6" s="42"/>
      <c r="E6" s="676"/>
      <c r="F6" s="676"/>
      <c r="G6" s="676"/>
      <c r="H6" s="676"/>
    </row>
    <row r="7" spans="1:8" ht="18.95" customHeight="1" x14ac:dyDescent="0.3">
      <c r="A7" s="844"/>
      <c r="B7" s="549"/>
      <c r="C7" s="549"/>
      <c r="D7" s="549"/>
      <c r="E7" s="675"/>
      <c r="F7" s="675"/>
      <c r="G7" s="675"/>
      <c r="H7" s="675"/>
    </row>
    <row r="8" spans="1:8" ht="18.95" customHeight="1" x14ac:dyDescent="0.3">
      <c r="A8" s="110"/>
      <c r="B8" s="105"/>
      <c r="C8" s="105"/>
      <c r="D8" s="105"/>
      <c r="E8" s="721"/>
      <c r="F8" s="721"/>
      <c r="G8" s="721"/>
      <c r="H8" s="721"/>
    </row>
    <row r="9" spans="1:8" ht="33.75" customHeight="1" x14ac:dyDescent="0.3">
      <c r="A9" s="845"/>
      <c r="B9" s="42"/>
      <c r="C9" s="42"/>
      <c r="D9" s="42"/>
      <c r="E9" s="676"/>
      <c r="F9" s="676"/>
      <c r="G9" s="676"/>
      <c r="H9" s="676"/>
    </row>
    <row r="10" spans="1:8" ht="18.95" customHeight="1" x14ac:dyDescent="0.3">
      <c r="A10" s="846"/>
      <c r="B10" s="105"/>
      <c r="C10" s="105"/>
      <c r="D10" s="105"/>
      <c r="E10" s="721"/>
      <c r="F10" s="721"/>
      <c r="G10" s="721"/>
      <c r="H10" s="721"/>
    </row>
    <row r="11" spans="1:8" ht="18.95" customHeight="1" thickBot="1" x14ac:dyDescent="0.35">
      <c r="A11" s="55"/>
      <c r="B11" s="42"/>
      <c r="C11" s="42"/>
      <c r="D11" s="42"/>
      <c r="E11" s="676"/>
      <c r="F11" s="676"/>
      <c r="G11" s="676"/>
      <c r="H11" s="676"/>
    </row>
    <row r="12" spans="1:8" ht="18.95" customHeight="1" thickTop="1" x14ac:dyDescent="0.3">
      <c r="A12" s="103" t="s">
        <v>122</v>
      </c>
      <c r="B12" s="112">
        <f t="shared" ref="B12:G12" si="0">SUM(B4:B11)</f>
        <v>2375</v>
      </c>
      <c r="C12" s="112">
        <f t="shared" si="0"/>
        <v>2600</v>
      </c>
      <c r="D12" s="112">
        <f t="shared" si="0"/>
        <v>2600</v>
      </c>
      <c r="E12" s="756">
        <f t="shared" si="0"/>
        <v>2600</v>
      </c>
      <c r="F12" s="756">
        <f t="shared" si="0"/>
        <v>2600</v>
      </c>
      <c r="G12" s="756">
        <f t="shared" si="0"/>
        <v>2600</v>
      </c>
      <c r="H12" s="756">
        <f t="shared" ref="H12" si="1">SUM(H4:H11)</f>
        <v>2598</v>
      </c>
    </row>
    <row r="13" spans="1:8" x14ac:dyDescent="0.2">
      <c r="A13" s="261"/>
      <c r="B13" s="24"/>
      <c r="C13" s="24"/>
      <c r="D13" s="249"/>
      <c r="E13" s="249"/>
      <c r="F13" s="249"/>
      <c r="G13" s="249"/>
    </row>
  </sheetData>
  <printOptions horizontalCentered="1"/>
  <pageMargins left="0.7" right="0.7" top="1" bottom="0.75" header="0.3" footer="0.3"/>
  <pageSetup orientation="portrait" r:id="rId1"/>
  <headerFooter>
    <oddFooter>&amp;L&amp;Z&amp;F, 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M30"/>
  <sheetViews>
    <sheetView workbookViewId="0">
      <selection activeCell="G19" sqref="G19"/>
    </sheetView>
  </sheetViews>
  <sheetFormatPr defaultRowHeight="12.75" x14ac:dyDescent="0.2"/>
  <cols>
    <col min="1" max="1" width="44.5703125" style="24" bestFit="1" customWidth="1"/>
    <col min="2" max="4" width="11.28515625" style="24" hidden="1" customWidth="1"/>
    <col min="5" max="5" width="11.5703125" style="24" hidden="1" customWidth="1"/>
    <col min="6" max="8" width="11.28515625" style="24" customWidth="1"/>
    <col min="9" max="9" width="9.5703125" style="24" bestFit="1" customWidth="1"/>
    <col min="10" max="12" width="9.140625" style="24"/>
    <col min="13" max="13" width="10.7109375" style="24" bestFit="1" customWidth="1"/>
    <col min="14" max="16384" width="9.140625" style="24"/>
  </cols>
  <sheetData>
    <row r="1" spans="1:13" ht="16.5" x14ac:dyDescent="0.3">
      <c r="A1" s="216" t="s">
        <v>611</v>
      </c>
      <c r="B1" s="203"/>
      <c r="C1" s="203"/>
      <c r="D1" s="203"/>
      <c r="E1" s="203"/>
      <c r="F1" s="203"/>
      <c r="G1" s="203"/>
      <c r="H1" s="203"/>
      <c r="I1" s="111"/>
    </row>
    <row r="2" spans="1:13" ht="18.75" customHeight="1" x14ac:dyDescent="0.3">
      <c r="A2" s="804"/>
      <c r="B2" s="805"/>
      <c r="C2" s="805"/>
      <c r="D2" s="805"/>
      <c r="E2" s="805"/>
      <c r="F2" s="805"/>
      <c r="G2" s="805"/>
      <c r="H2" s="805"/>
      <c r="I2" s="111"/>
    </row>
    <row r="3" spans="1:13" ht="18.75" customHeight="1" x14ac:dyDescent="0.3">
      <c r="A3" s="191" t="s">
        <v>124</v>
      </c>
      <c r="B3" s="404">
        <v>2013</v>
      </c>
      <c r="C3" s="404">
        <v>2014</v>
      </c>
      <c r="D3" s="404">
        <v>2015</v>
      </c>
      <c r="E3" s="404">
        <v>2016</v>
      </c>
      <c r="F3" s="404">
        <v>2017</v>
      </c>
      <c r="G3" s="404">
        <v>2018</v>
      </c>
      <c r="H3" s="404">
        <v>2019</v>
      </c>
      <c r="I3" s="111"/>
    </row>
    <row r="4" spans="1:13" ht="20.100000000000001" customHeight="1" x14ac:dyDescent="0.3">
      <c r="A4" s="69" t="s">
        <v>206</v>
      </c>
      <c r="B4" s="107">
        <v>148260</v>
      </c>
      <c r="C4" s="107">
        <v>156333.63</v>
      </c>
      <c r="D4" s="107">
        <v>164446.14000000001</v>
      </c>
      <c r="E4" s="755">
        <v>168094.01</v>
      </c>
      <c r="F4" s="755">
        <v>174842</v>
      </c>
      <c r="G4" s="755">
        <v>193577</v>
      </c>
      <c r="H4" s="755">
        <f>'642 PAYROLL'!K47*0.0765</f>
        <v>211975.57694925001</v>
      </c>
      <c r="I4" s="806"/>
      <c r="J4" s="473"/>
    </row>
    <row r="5" spans="1:13" ht="20.100000000000001" customHeight="1" x14ac:dyDescent="0.3">
      <c r="A5" s="66" t="s">
        <v>438</v>
      </c>
      <c r="B5" s="107">
        <v>5250</v>
      </c>
      <c r="C5" s="107">
        <v>5250</v>
      </c>
      <c r="D5" s="107">
        <v>5250</v>
      </c>
      <c r="E5" s="755">
        <v>5250</v>
      </c>
      <c r="F5" s="755">
        <v>5250</v>
      </c>
      <c r="G5" s="755">
        <v>5250</v>
      </c>
      <c r="H5" s="755">
        <v>5251</v>
      </c>
      <c r="I5" s="807"/>
    </row>
    <row r="6" spans="1:13" ht="20.100000000000001" customHeight="1" x14ac:dyDescent="0.3">
      <c r="A6" s="808" t="s">
        <v>272</v>
      </c>
      <c r="B6" s="809">
        <v>240759.72</v>
      </c>
      <c r="C6" s="1031">
        <v>349857.84</v>
      </c>
      <c r="D6" s="1031">
        <v>376097.18</v>
      </c>
      <c r="E6" s="1037">
        <v>404304.47</v>
      </c>
      <c r="F6" s="1037">
        <f>(40000*12)-86000</f>
        <v>394000</v>
      </c>
      <c r="G6" s="1037">
        <f>(40000*12)-86000</f>
        <v>394000</v>
      </c>
      <c r="H6" s="1037">
        <f>(40000*12)-86000</f>
        <v>394000</v>
      </c>
      <c r="I6" s="1033">
        <f>SUM(G6:G8)</f>
        <v>394000</v>
      </c>
    </row>
    <row r="7" spans="1:13" ht="20.100000000000001" customHeight="1" x14ac:dyDescent="0.3">
      <c r="A7" s="66" t="s">
        <v>284</v>
      </c>
      <c r="B7" s="810"/>
      <c r="C7" s="1032"/>
      <c r="D7" s="1032"/>
      <c r="E7" s="1038"/>
      <c r="F7" s="1038"/>
      <c r="G7" s="1038"/>
      <c r="H7" s="1038"/>
      <c r="I7" s="1034"/>
      <c r="M7" s="251"/>
    </row>
    <row r="8" spans="1:13" ht="20.100000000000001" customHeight="1" x14ac:dyDescent="0.3">
      <c r="A8" s="113" t="s">
        <v>606</v>
      </c>
      <c r="B8" s="638">
        <v>-25813</v>
      </c>
      <c r="C8" s="811">
        <v>-82791.240000000005</v>
      </c>
      <c r="D8" s="811">
        <v>-65497.18</v>
      </c>
      <c r="E8" s="812">
        <v>-40000</v>
      </c>
      <c r="F8" s="812">
        <v>0</v>
      </c>
      <c r="G8" s="812">
        <v>0</v>
      </c>
      <c r="H8" s="812">
        <v>0</v>
      </c>
      <c r="I8" s="1035"/>
    </row>
    <row r="9" spans="1:13" ht="20.100000000000001" customHeight="1" x14ac:dyDescent="0.3">
      <c r="A9" s="813" t="s">
        <v>726</v>
      </c>
      <c r="B9" s="814">
        <v>10437.700000000001</v>
      </c>
      <c r="C9" s="814">
        <v>10600</v>
      </c>
      <c r="D9" s="814">
        <v>10600</v>
      </c>
      <c r="E9" s="815">
        <v>11000</v>
      </c>
      <c r="F9" s="815">
        <f>(1600*12)-7200</f>
        <v>12000</v>
      </c>
      <c r="G9" s="815">
        <f>(1600*12)-7200</f>
        <v>12000</v>
      </c>
      <c r="H9" s="970">
        <f>(1800*12)-7200</f>
        <v>14400</v>
      </c>
      <c r="I9" s="816"/>
    </row>
    <row r="10" spans="1:13" ht="20.100000000000001" customHeight="1" x14ac:dyDescent="0.3">
      <c r="A10" s="817" t="s">
        <v>657</v>
      </c>
      <c r="B10" s="818">
        <v>8048</v>
      </c>
      <c r="C10" s="818">
        <v>11500</v>
      </c>
      <c r="D10" s="818">
        <v>13600</v>
      </c>
      <c r="E10" s="819">
        <v>13600</v>
      </c>
      <c r="F10" s="819">
        <v>13600</v>
      </c>
      <c r="G10" s="819">
        <v>13600</v>
      </c>
      <c r="H10" s="819">
        <v>13800</v>
      </c>
      <c r="I10" s="1033">
        <f>G10+G11+G12</f>
        <v>16600</v>
      </c>
      <c r="J10" s="351"/>
    </row>
    <row r="11" spans="1:13" ht="20.100000000000001" hidden="1" customHeight="1" x14ac:dyDescent="0.3">
      <c r="A11" s="110" t="s">
        <v>658</v>
      </c>
      <c r="B11" s="197">
        <v>2452</v>
      </c>
      <c r="C11" s="197"/>
      <c r="D11" s="197"/>
      <c r="E11" s="666">
        <v>0</v>
      </c>
      <c r="F11" s="666">
        <v>0</v>
      </c>
      <c r="G11" s="666">
        <v>0</v>
      </c>
      <c r="H11" s="666">
        <v>0</v>
      </c>
      <c r="I11" s="1034"/>
      <c r="J11" s="351"/>
    </row>
    <row r="12" spans="1:13" ht="20.100000000000001" customHeight="1" x14ac:dyDescent="0.3">
      <c r="A12" s="820" t="s">
        <v>327</v>
      </c>
      <c r="B12" s="638">
        <v>3000</v>
      </c>
      <c r="C12" s="638">
        <v>2100</v>
      </c>
      <c r="D12" s="638">
        <v>3000</v>
      </c>
      <c r="E12" s="668">
        <v>3000</v>
      </c>
      <c r="F12" s="668">
        <v>3000</v>
      </c>
      <c r="G12" s="668">
        <v>3000</v>
      </c>
      <c r="H12" s="668">
        <v>3200</v>
      </c>
      <c r="I12" s="1035"/>
      <c r="J12" s="548"/>
    </row>
    <row r="13" spans="1:13" ht="20.100000000000001" customHeight="1" x14ac:dyDescent="0.3">
      <c r="A13" s="808" t="s">
        <v>207</v>
      </c>
      <c r="B13" s="821">
        <v>36743.928508249599</v>
      </c>
      <c r="C13" s="821">
        <v>36743.93</v>
      </c>
      <c r="D13" s="821">
        <v>37225.24</v>
      </c>
      <c r="E13" s="822">
        <v>38202.44</v>
      </c>
      <c r="F13" s="822">
        <v>39645</v>
      </c>
      <c r="G13" s="822">
        <v>48128</v>
      </c>
      <c r="H13" s="822">
        <f>'642 PAYROLL'!K37/100*'642 PAYROLL'!I54*'642 PAYROLL'!J54*'642 PAYROLL'!K54</f>
        <v>53225.652682435204</v>
      </c>
      <c r="I13" s="1029">
        <f>SUM(G13:G18)</f>
        <v>49855</v>
      </c>
      <c r="M13" s="251"/>
    </row>
    <row r="14" spans="1:13" ht="20.100000000000001" customHeight="1" x14ac:dyDescent="0.3">
      <c r="A14" s="54" t="s">
        <v>208</v>
      </c>
      <c r="B14" s="108">
        <v>1046.0347559270401</v>
      </c>
      <c r="C14" s="108">
        <v>1046.03</v>
      </c>
      <c r="D14" s="108">
        <v>1370.91</v>
      </c>
      <c r="E14" s="823">
        <v>1385.5</v>
      </c>
      <c r="F14" s="823">
        <v>1462</v>
      </c>
      <c r="G14" s="823">
        <v>972</v>
      </c>
      <c r="H14" s="823">
        <f>('642 PAYROLL'!K45-'642 PAYROLL'!K44)/100*'642 PAYROLL'!I55*'642 PAYROLL'!J55*'642 PAYROLL'!K55</f>
        <v>976.43246018560012</v>
      </c>
      <c r="I14" s="1036"/>
    </row>
    <row r="15" spans="1:13" ht="20.100000000000001" customHeight="1" x14ac:dyDescent="0.3">
      <c r="A15" s="66" t="s">
        <v>42</v>
      </c>
      <c r="B15" s="108">
        <v>443.52</v>
      </c>
      <c r="C15" s="108">
        <v>443.52</v>
      </c>
      <c r="D15" s="108">
        <v>443.52</v>
      </c>
      <c r="E15" s="823">
        <f>'642 PAYROLL'!G57</f>
        <v>443.52</v>
      </c>
      <c r="F15" s="823">
        <v>444</v>
      </c>
      <c r="G15" s="823">
        <v>444</v>
      </c>
      <c r="H15" s="823">
        <f>'642 PAYROLL'!G57</f>
        <v>443.52</v>
      </c>
      <c r="I15" s="1036"/>
    </row>
    <row r="16" spans="1:13" ht="20.100000000000001" customHeight="1" x14ac:dyDescent="0.3">
      <c r="A16" s="66" t="s">
        <v>399</v>
      </c>
      <c r="B16" s="108">
        <v>272.44800000000004</v>
      </c>
      <c r="C16" s="108">
        <v>272.45</v>
      </c>
      <c r="D16" s="108">
        <v>211.9</v>
      </c>
      <c r="E16" s="823">
        <f>'642 PAYROLL'!K44/100*'642 PAYROLL'!I57*'642 PAYROLL'!J57*'642 PAYROLL'!K57</f>
        <v>348.12800000000004</v>
      </c>
      <c r="F16" s="823">
        <v>212</v>
      </c>
      <c r="G16" s="823">
        <v>303</v>
      </c>
      <c r="H16" s="823">
        <f>'642 PAYROLL'!K44/100*'642 PAYROLL'!I57*'642 PAYROLL'!J57*'642 PAYROLL'!K57</f>
        <v>348.12800000000004</v>
      </c>
      <c r="I16" s="1036"/>
    </row>
    <row r="17" spans="1:9" ht="20.100000000000001" customHeight="1" x14ac:dyDescent="0.3">
      <c r="A17" s="66" t="s">
        <v>407</v>
      </c>
      <c r="B17" s="824">
        <v>8.2368000000000006</v>
      </c>
      <c r="C17" s="824">
        <v>8.24</v>
      </c>
      <c r="D17" s="824">
        <v>8.24</v>
      </c>
      <c r="E17" s="825">
        <f>3000/100*'642 PAYROLL'!I58*'642 PAYROLL'!J58*'642 PAYROLL'!K58</f>
        <v>8.2368000000000006</v>
      </c>
      <c r="F17" s="825">
        <v>8</v>
      </c>
      <c r="G17" s="825">
        <v>8</v>
      </c>
      <c r="H17" s="825">
        <f>3000/100*'642 PAYROLL'!I58*'642 PAYROLL'!J58*'642 PAYROLL'!K58</f>
        <v>8.2368000000000006</v>
      </c>
      <c r="I17" s="1036"/>
    </row>
    <row r="18" spans="1:9" ht="20.100000000000001" customHeight="1" x14ac:dyDescent="0.3">
      <c r="A18" s="113" t="s">
        <v>379</v>
      </c>
      <c r="B18" s="826">
        <v>-1589</v>
      </c>
      <c r="C18" s="826">
        <v>-1589</v>
      </c>
      <c r="D18" s="826">
        <v>-1589</v>
      </c>
      <c r="E18" s="827">
        <v>-1589</v>
      </c>
      <c r="F18" s="827">
        <v>0</v>
      </c>
      <c r="G18" s="827">
        <v>0</v>
      </c>
      <c r="H18" s="827">
        <f>'642 PAYROLL'!G60</f>
        <v>0</v>
      </c>
      <c r="I18" s="1030"/>
    </row>
    <row r="19" spans="1:9" ht="20.100000000000001" customHeight="1" x14ac:dyDescent="0.3">
      <c r="A19" s="66" t="s">
        <v>495</v>
      </c>
      <c r="B19" s="108">
        <v>15000</v>
      </c>
      <c r="C19" s="108">
        <v>15000</v>
      </c>
      <c r="D19" s="108">
        <v>20000</v>
      </c>
      <c r="E19" s="823">
        <v>22000</v>
      </c>
      <c r="F19" s="823">
        <v>22000</v>
      </c>
      <c r="G19" s="823">
        <v>18000</v>
      </c>
      <c r="H19" s="823">
        <v>20000</v>
      </c>
      <c r="I19" s="828"/>
    </row>
    <row r="20" spans="1:9" ht="20.100000000000001" customHeight="1" x14ac:dyDescent="0.3">
      <c r="A20" s="829" t="s">
        <v>175</v>
      </c>
      <c r="B20" s="830">
        <v>480</v>
      </c>
      <c r="C20" s="830">
        <v>480</v>
      </c>
      <c r="D20" s="830">
        <v>480</v>
      </c>
      <c r="E20" s="831">
        <f>40*12</f>
        <v>480</v>
      </c>
      <c r="F20" s="831">
        <f>40*12</f>
        <v>480</v>
      </c>
      <c r="G20" s="831">
        <f>40*12</f>
        <v>480</v>
      </c>
      <c r="H20" s="831">
        <f>45*12</f>
        <v>540</v>
      </c>
      <c r="I20" s="1029">
        <f>G20+G21+G22</f>
        <v>10872</v>
      </c>
    </row>
    <row r="21" spans="1:9" ht="20.100000000000001" customHeight="1" x14ac:dyDescent="0.3">
      <c r="A21" s="69" t="s">
        <v>22</v>
      </c>
      <c r="B21" s="832">
        <v>9500</v>
      </c>
      <c r="C21" s="832">
        <v>9500</v>
      </c>
      <c r="D21" s="832">
        <v>10392</v>
      </c>
      <c r="E21" s="833">
        <f>866*12</f>
        <v>10392</v>
      </c>
      <c r="F21" s="833">
        <f>866*12</f>
        <v>10392</v>
      </c>
      <c r="G21" s="833">
        <f>866*12</f>
        <v>10392</v>
      </c>
      <c r="H21" s="833">
        <f>886*12</f>
        <v>10632</v>
      </c>
      <c r="I21" s="1030"/>
    </row>
    <row r="22" spans="1:9" ht="20.100000000000001" hidden="1" customHeight="1" x14ac:dyDescent="0.3">
      <c r="A22" s="69" t="s">
        <v>360</v>
      </c>
      <c r="B22" s="832">
        <v>0</v>
      </c>
      <c r="C22" s="832">
        <v>0</v>
      </c>
      <c r="D22" s="832">
        <v>0</v>
      </c>
      <c r="E22" s="833"/>
      <c r="F22" s="833"/>
      <c r="G22" s="833"/>
      <c r="H22" s="833"/>
      <c r="I22" s="827"/>
    </row>
    <row r="23" spans="1:9" ht="20.100000000000001" customHeight="1" x14ac:dyDescent="0.3">
      <c r="A23" s="829" t="s">
        <v>317</v>
      </c>
      <c r="B23" s="834">
        <v>2000</v>
      </c>
      <c r="C23" s="834">
        <v>2000</v>
      </c>
      <c r="D23" s="834">
        <v>2000</v>
      </c>
      <c r="E23" s="835">
        <v>2000</v>
      </c>
      <c r="F23" s="835">
        <v>2000</v>
      </c>
      <c r="G23" s="835">
        <v>2000</v>
      </c>
      <c r="H23" s="835">
        <v>2000</v>
      </c>
      <c r="I23" s="836"/>
    </row>
    <row r="24" spans="1:9" ht="20.100000000000001" customHeight="1" x14ac:dyDescent="0.3">
      <c r="A24" s="837" t="s">
        <v>338</v>
      </c>
      <c r="B24" s="838">
        <v>177485.82</v>
      </c>
      <c r="C24" s="838">
        <v>189168.64000000001</v>
      </c>
      <c r="D24" s="838">
        <v>201448.4</v>
      </c>
      <c r="E24" s="839">
        <v>206173.94</v>
      </c>
      <c r="F24" s="839">
        <v>214551</v>
      </c>
      <c r="G24" s="839">
        <v>333828</v>
      </c>
      <c r="H24" s="839">
        <f>'642 PAYROLL'!G64</f>
        <v>368190.04243000003</v>
      </c>
      <c r="I24" s="836"/>
    </row>
    <row r="25" spans="1:9" ht="20.100000000000001" customHeight="1" x14ac:dyDescent="0.3">
      <c r="A25" s="840"/>
      <c r="B25" s="818"/>
      <c r="C25" s="818"/>
      <c r="D25" s="818"/>
      <c r="E25" s="819"/>
      <c r="F25" s="819"/>
      <c r="G25" s="819"/>
      <c r="H25" s="819"/>
      <c r="I25" s="836"/>
    </row>
    <row r="26" spans="1:9" ht="20.100000000000001" customHeight="1" x14ac:dyDescent="0.3">
      <c r="A26" s="841"/>
      <c r="B26" s="638"/>
      <c r="C26" s="638"/>
      <c r="D26" s="638"/>
      <c r="E26" s="668"/>
      <c r="F26" s="668"/>
      <c r="G26" s="668"/>
      <c r="H26" s="668"/>
      <c r="I26" s="836"/>
    </row>
    <row r="27" spans="1:9" ht="20.100000000000001" customHeight="1" x14ac:dyDescent="0.3">
      <c r="A27" s="842" t="s">
        <v>172</v>
      </c>
      <c r="B27" s="377">
        <f>SUM(B4:B26)</f>
        <v>633785.40806417656</v>
      </c>
      <c r="C27" s="377">
        <f>SUM(C4:C26)</f>
        <v>705924.04</v>
      </c>
      <c r="D27" s="377">
        <f>SUM(D4:D26)</f>
        <v>779487.35000000021</v>
      </c>
      <c r="E27" s="740">
        <f>SUM(E4:E26)-0.01</f>
        <v>845093.23479999998</v>
      </c>
      <c r="F27" s="740">
        <f>SUM(F4:F26)</f>
        <v>893886</v>
      </c>
      <c r="G27" s="740">
        <f>SUM(G4:G26)</f>
        <v>1035982</v>
      </c>
      <c r="H27" s="740">
        <f>SUM(H4:H26)</f>
        <v>1098990.5893218708</v>
      </c>
      <c r="I27" s="836"/>
    </row>
    <row r="28" spans="1:9" ht="11.25" customHeight="1" x14ac:dyDescent="0.2">
      <c r="D28" s="92"/>
      <c r="E28" s="92"/>
      <c r="F28" s="92"/>
      <c r="G28" s="92"/>
    </row>
    <row r="29" spans="1:9" x14ac:dyDescent="0.2">
      <c r="D29" s="325"/>
      <c r="E29" s="325"/>
      <c r="F29" s="325"/>
      <c r="G29" s="325"/>
    </row>
    <row r="30" spans="1:9" ht="15.75" customHeight="1" x14ac:dyDescent="0.2"/>
  </sheetData>
  <mergeCells count="10">
    <mergeCell ref="I20:I21"/>
    <mergeCell ref="C6:C7"/>
    <mergeCell ref="D6:D7"/>
    <mergeCell ref="I6:I8"/>
    <mergeCell ref="I10:I12"/>
    <mergeCell ref="I13:I18"/>
    <mergeCell ref="G6:G7"/>
    <mergeCell ref="E6:E7"/>
    <mergeCell ref="F6:F7"/>
    <mergeCell ref="H6:H7"/>
  </mergeCells>
  <pageMargins left="0.7" right="0.7" top="0.75" bottom="0.75" header="0.3" footer="0.3"/>
  <pageSetup fitToHeight="0" orientation="portrait" r:id="rId1"/>
  <headerFooter>
    <oddFooter>&amp;L&amp;Z&amp;F, 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V69"/>
  <sheetViews>
    <sheetView workbookViewId="0">
      <pane ySplit="1" topLeftCell="A2" activePane="bottomLeft" state="frozen"/>
      <selection pane="bottomLeft"/>
    </sheetView>
  </sheetViews>
  <sheetFormatPr defaultRowHeight="12.75" x14ac:dyDescent="0.2"/>
  <cols>
    <col min="1" max="1" width="18.28515625" style="24" customWidth="1"/>
    <col min="2" max="2" width="4.140625" style="24" customWidth="1"/>
    <col min="3" max="3" width="8.28515625" style="24" customWidth="1"/>
    <col min="4" max="4" width="4" style="24" bestFit="1" customWidth="1"/>
    <col min="5" max="5" width="10.7109375" style="24" customWidth="1"/>
    <col min="6" max="6" width="11.140625" style="24" customWidth="1"/>
    <col min="7" max="7" width="13" style="24" customWidth="1"/>
    <col min="8" max="8" width="6.140625" style="375" customWidth="1"/>
    <col min="9" max="9" width="6.140625" style="24" customWidth="1"/>
    <col min="10" max="10" width="7.7109375" style="24" customWidth="1"/>
    <col min="11" max="11" width="11.7109375" style="24" customWidth="1"/>
    <col min="12" max="12" width="9.28515625" style="24" customWidth="1"/>
    <col min="13" max="13" width="10.7109375" style="24" customWidth="1"/>
    <col min="14" max="14" width="6.5703125" style="24" customWidth="1"/>
    <col min="15" max="15" width="9.85546875" style="24" customWidth="1"/>
    <col min="16" max="16" width="11.28515625" style="24" bestFit="1" customWidth="1"/>
    <col min="17" max="17" width="11.5703125" style="24" bestFit="1" customWidth="1"/>
    <col min="18" max="16384" width="9.140625" style="24"/>
  </cols>
  <sheetData>
    <row r="1" spans="1:19" ht="18" x14ac:dyDescent="0.25">
      <c r="A1" s="995" t="s">
        <v>49</v>
      </c>
      <c r="B1" s="996" t="s">
        <v>50</v>
      </c>
      <c r="C1" s="996" t="s">
        <v>51</v>
      </c>
      <c r="D1" s="996" t="s">
        <v>52</v>
      </c>
      <c r="E1" s="996" t="s">
        <v>316</v>
      </c>
      <c r="F1" s="996" t="s">
        <v>378</v>
      </c>
      <c r="G1" s="996" t="s">
        <v>53</v>
      </c>
      <c r="H1" s="996" t="s">
        <v>493</v>
      </c>
      <c r="I1" s="996" t="s">
        <v>494</v>
      </c>
      <c r="J1" s="996" t="s">
        <v>585</v>
      </c>
      <c r="K1" s="996" t="s">
        <v>422</v>
      </c>
      <c r="L1" s="996" t="s">
        <v>325</v>
      </c>
      <c r="M1" s="997" t="s">
        <v>649</v>
      </c>
      <c r="N1" s="998"/>
    </row>
    <row r="2" spans="1:19" x14ac:dyDescent="0.2">
      <c r="A2" s="536" t="s">
        <v>688</v>
      </c>
      <c r="B2" s="385">
        <v>28</v>
      </c>
      <c r="C2" s="472">
        <f>M3+I2+H2</f>
        <v>34.924319999999994</v>
      </c>
      <c r="D2" s="385">
        <v>26</v>
      </c>
      <c r="E2" s="472">
        <f t="shared" ref="E2" si="0">106*C2*D2</f>
        <v>96251.42591999998</v>
      </c>
      <c r="F2" s="472">
        <f t="shared" ref="F2" si="1">9*C2*D2</f>
        <v>8172.2908799999977</v>
      </c>
      <c r="G2" s="472">
        <f t="shared" ref="G2" si="2">E2+F2</f>
        <v>104423.71679999998</v>
      </c>
      <c r="H2" s="660">
        <f>0.22+0.3+0.44+0.33+0.44</f>
        <v>1.73</v>
      </c>
      <c r="I2" s="660">
        <f>P35</f>
        <v>4.3000000000000016</v>
      </c>
      <c r="J2" s="911">
        <v>300</v>
      </c>
      <c r="K2" s="912">
        <f>G2+J2</f>
        <v>104723.71679999998</v>
      </c>
      <c r="L2" s="913">
        <v>37009</v>
      </c>
      <c r="M2" s="958"/>
    </row>
    <row r="3" spans="1:19" x14ac:dyDescent="0.2">
      <c r="A3" s="380" t="s">
        <v>689</v>
      </c>
      <c r="B3" s="382">
        <v>15</v>
      </c>
      <c r="C3" s="470">
        <f>M3+H3+I3</f>
        <v>33.774319999999996</v>
      </c>
      <c r="D3" s="382">
        <v>26</v>
      </c>
      <c r="E3" s="470">
        <f>106*C3*D3</f>
        <v>93082.025919999985</v>
      </c>
      <c r="F3" s="470">
        <f>9*C3*D3</f>
        <v>7903.1908799999992</v>
      </c>
      <c r="G3" s="470">
        <f>E3+F3</f>
        <v>100985.21679999998</v>
      </c>
      <c r="H3" s="561">
        <f>0.22+0.39+0.44+0.88+0.33+0.22</f>
        <v>2.4800000000000004</v>
      </c>
      <c r="I3" s="561">
        <f>P22</f>
        <v>2.4000000000000004</v>
      </c>
      <c r="J3" s="558">
        <v>300</v>
      </c>
      <c r="K3" s="428">
        <f>G3+J3</f>
        <v>101285.21679999998</v>
      </c>
      <c r="L3" s="518">
        <v>38299</v>
      </c>
      <c r="M3" s="959">
        <f>28.08*1.029</f>
        <v>28.894319999999997</v>
      </c>
    </row>
    <row r="4" spans="1:19" x14ac:dyDescent="0.2">
      <c r="A4" s="946" t="s">
        <v>711</v>
      </c>
      <c r="B4" s="517">
        <v>14</v>
      </c>
      <c r="C4" s="947">
        <f>M3+I4+H4</f>
        <v>33.464319999999994</v>
      </c>
      <c r="D4" s="517">
        <v>26</v>
      </c>
      <c r="E4" s="947">
        <f>106*C4*D4</f>
        <v>92227.66591999997</v>
      </c>
      <c r="F4" s="947">
        <f>9*C4*D4</f>
        <v>7830.6508799999983</v>
      </c>
      <c r="G4" s="947">
        <f>E4+F4</f>
        <v>100058.31679999997</v>
      </c>
      <c r="H4" s="948">
        <f>0.22+0.39+0.22+0.88+0.44+0.22</f>
        <v>2.37</v>
      </c>
      <c r="I4" s="948">
        <f>P21</f>
        <v>2.2000000000000002</v>
      </c>
      <c r="J4" s="517">
        <v>300</v>
      </c>
      <c r="K4" s="949">
        <f>G4+J4</f>
        <v>100358.31679999997</v>
      </c>
      <c r="L4" s="950">
        <v>38677</v>
      </c>
      <c r="M4" s="960"/>
      <c r="N4" s="921"/>
    </row>
    <row r="5" spans="1:19" x14ac:dyDescent="0.2">
      <c r="A5" s="384" t="s">
        <v>712</v>
      </c>
      <c r="B5" s="385">
        <v>25</v>
      </c>
      <c r="C5" s="472">
        <f>M6+H5+I5</f>
        <v>33.435019999999994</v>
      </c>
      <c r="D5" s="385">
        <v>26</v>
      </c>
      <c r="E5" s="472">
        <f>106*C5*D5</f>
        <v>92146.915119999976</v>
      </c>
      <c r="F5" s="472">
        <f>9*C5*D5</f>
        <v>7823.7946799999991</v>
      </c>
      <c r="G5" s="472">
        <f>E5+F5</f>
        <v>99970.709799999982</v>
      </c>
      <c r="H5" s="660">
        <f>0.22+0.3+0.22+0.88+0.33+0.44</f>
        <v>2.39</v>
      </c>
      <c r="I5" s="660">
        <f>P32</f>
        <v>3.9000000000000017</v>
      </c>
      <c r="J5" s="911">
        <v>300</v>
      </c>
      <c r="K5" s="912">
        <f>G5+J5</f>
        <v>100270.70979999998</v>
      </c>
      <c r="L5" s="956">
        <v>37878</v>
      </c>
      <c r="M5" s="92"/>
    </row>
    <row r="6" spans="1:19" x14ac:dyDescent="0.2">
      <c r="A6" s="384" t="s">
        <v>586</v>
      </c>
      <c r="B6" s="385">
        <v>14</v>
      </c>
      <c r="C6" s="472">
        <f>M6+H6+I6</f>
        <v>30.855019999999996</v>
      </c>
      <c r="D6" s="385">
        <v>26</v>
      </c>
      <c r="E6" s="472">
        <f>106*C6*D6</f>
        <v>85036.435119999995</v>
      </c>
      <c r="F6" s="472">
        <f>9*C6*D6</f>
        <v>7220.0746799999979</v>
      </c>
      <c r="G6" s="472">
        <f>E6+F6</f>
        <v>92256.5098</v>
      </c>
      <c r="H6" s="660">
        <f>0.22+0.3+0.22+0.22+0.33+0.22</f>
        <v>1.51</v>
      </c>
      <c r="I6" s="660">
        <f>P21</f>
        <v>2.2000000000000002</v>
      </c>
      <c r="J6" s="385">
        <v>300</v>
      </c>
      <c r="K6" s="912">
        <f>G6+J6</f>
        <v>92556.5098</v>
      </c>
      <c r="L6" s="920">
        <v>38942</v>
      </c>
      <c r="M6" s="522">
        <f>26.38*1.029</f>
        <v>27.145019999999995</v>
      </c>
      <c r="P6" s="1042" t="s">
        <v>398</v>
      </c>
      <c r="Q6" s="1042"/>
      <c r="R6" s="1042"/>
      <c r="S6"/>
    </row>
    <row r="7" spans="1:19" x14ac:dyDescent="0.2">
      <c r="A7" s="383" t="s">
        <v>609</v>
      </c>
      <c r="B7" s="426">
        <v>12</v>
      </c>
      <c r="C7" s="471">
        <f>M6+I7+H7</f>
        <v>31.245019999999993</v>
      </c>
      <c r="D7" s="426">
        <v>26</v>
      </c>
      <c r="E7" s="471">
        <f t="shared" ref="E7" si="3">106*C7*D7</f>
        <v>86111.275119999991</v>
      </c>
      <c r="F7" s="471">
        <f t="shared" ref="F7" si="4">9*C7*D7</f>
        <v>7311.3346799999981</v>
      </c>
      <c r="G7" s="471">
        <f t="shared" ref="G7" si="5">E7+F7</f>
        <v>93422.609799999991</v>
      </c>
      <c r="H7" s="659">
        <f>0.22+0.22+0.22+0.88+0.33+0.33</f>
        <v>2.2000000000000002</v>
      </c>
      <c r="I7" s="659">
        <f>P19</f>
        <v>1.9000000000000001</v>
      </c>
      <c r="J7" s="426">
        <v>300</v>
      </c>
      <c r="K7" s="916">
        <f t="shared" ref="K7" si="6">G7+J7</f>
        <v>93722.609799999991</v>
      </c>
      <c r="L7" s="917">
        <v>39380</v>
      </c>
      <c r="M7" s="922"/>
      <c r="N7" s="919"/>
      <c r="O7" s="375"/>
      <c r="P7" s="613" t="s">
        <v>434</v>
      </c>
      <c r="Q7" s="613" t="s">
        <v>435</v>
      </c>
      <c r="R7" s="613" t="s">
        <v>608</v>
      </c>
    </row>
    <row r="8" spans="1:19" x14ac:dyDescent="0.2">
      <c r="A8" s="384" t="s">
        <v>690</v>
      </c>
      <c r="B8" s="385">
        <v>14</v>
      </c>
      <c r="C8" s="472">
        <f>M9+I8+H8</f>
        <v>28.824549999999999</v>
      </c>
      <c r="D8" s="385">
        <v>26</v>
      </c>
      <c r="E8" s="472">
        <f t="shared" ref="E8:E13" si="7">106*C8*D8</f>
        <v>79440.459799999997</v>
      </c>
      <c r="F8" s="472">
        <f t="shared" ref="F8:F13" si="8">9*C8*D8</f>
        <v>6744.9447</v>
      </c>
      <c r="G8" s="472">
        <f t="shared" ref="G8:G13" si="9">E8+F8</f>
        <v>86185.404500000004</v>
      </c>
      <c r="H8" s="660">
        <f>0.22+0.22+0.88+0.44+0.22</f>
        <v>1.98</v>
      </c>
      <c r="I8" s="660">
        <f>P21</f>
        <v>2.2000000000000002</v>
      </c>
      <c r="J8" s="385">
        <v>300</v>
      </c>
      <c r="K8" s="912">
        <f>G8+J8</f>
        <v>86485.404500000004</v>
      </c>
      <c r="L8" s="920">
        <v>38628</v>
      </c>
      <c r="M8" s="92"/>
      <c r="N8" s="375"/>
      <c r="O8" s="375"/>
      <c r="P8" s="614">
        <v>0.25</v>
      </c>
      <c r="Q8" s="615">
        <v>1</v>
      </c>
      <c r="R8" s="71"/>
    </row>
    <row r="9" spans="1:19" x14ac:dyDescent="0.2">
      <c r="A9" s="380" t="s">
        <v>685</v>
      </c>
      <c r="B9" s="382">
        <v>13</v>
      </c>
      <c r="C9" s="470">
        <f>M9+I9+H9</f>
        <v>29.49455</v>
      </c>
      <c r="D9" s="382">
        <v>26</v>
      </c>
      <c r="E9" s="470">
        <f t="shared" si="7"/>
        <v>81286.979800000001</v>
      </c>
      <c r="F9" s="470">
        <f t="shared" si="8"/>
        <v>6901.7246999999998</v>
      </c>
      <c r="G9" s="470">
        <f t="shared" si="9"/>
        <v>88188.704500000007</v>
      </c>
      <c r="H9" s="561">
        <f>0.22+0.66+0.44+0.88+0.33+0.22</f>
        <v>2.7500000000000004</v>
      </c>
      <c r="I9" s="561">
        <f>P20</f>
        <v>2.1</v>
      </c>
      <c r="J9" s="382">
        <v>300</v>
      </c>
      <c r="K9" s="428">
        <f>G9+J9</f>
        <v>88488.704500000007</v>
      </c>
      <c r="L9" s="593">
        <v>39033</v>
      </c>
      <c r="M9" s="523">
        <f>23.95*1.029</f>
        <v>24.644549999999999</v>
      </c>
      <c r="N9" s="375"/>
      <c r="O9" s="375"/>
      <c r="P9" s="614">
        <f t="shared" ref="P9:P29" si="10">P8+R9</f>
        <v>0.45</v>
      </c>
      <c r="Q9" s="615">
        <v>2</v>
      </c>
      <c r="R9" s="71">
        <v>0.2</v>
      </c>
    </row>
    <row r="10" spans="1:19" x14ac:dyDescent="0.2">
      <c r="A10" s="383" t="s">
        <v>703</v>
      </c>
      <c r="B10" s="426">
        <v>11</v>
      </c>
      <c r="C10" s="471">
        <f>M9+I10+H10</f>
        <v>28.864550000000001</v>
      </c>
      <c r="D10" s="426">
        <v>26</v>
      </c>
      <c r="E10" s="471">
        <f t="shared" si="7"/>
        <v>79550.699800000002</v>
      </c>
      <c r="F10" s="471">
        <f t="shared" si="8"/>
        <v>6754.3047000000006</v>
      </c>
      <c r="G10" s="471">
        <f t="shared" si="9"/>
        <v>86305.00450000001</v>
      </c>
      <c r="H10" s="659">
        <f>0.22+0.66+0.88+0.33+0.33</f>
        <v>2.42</v>
      </c>
      <c r="I10" s="659">
        <f>P18</f>
        <v>1.8</v>
      </c>
      <c r="J10" s="426">
        <v>300</v>
      </c>
      <c r="K10" s="916">
        <f t="shared" ref="K10" si="11">G10+J10</f>
        <v>86605.00450000001</v>
      </c>
      <c r="L10" s="917">
        <v>39987</v>
      </c>
      <c r="M10" s="922"/>
      <c r="N10" s="919"/>
      <c r="O10" s="375"/>
      <c r="P10" s="614">
        <f t="shared" si="10"/>
        <v>0.6</v>
      </c>
      <c r="Q10" s="615">
        <v>3</v>
      </c>
      <c r="R10" s="71">
        <v>0.15</v>
      </c>
    </row>
    <row r="11" spans="1:19" x14ac:dyDescent="0.2">
      <c r="A11" s="384" t="s">
        <v>704</v>
      </c>
      <c r="B11" s="385">
        <v>13</v>
      </c>
      <c r="C11" s="472">
        <f>M13+I11+H11</f>
        <v>24.032180000000004</v>
      </c>
      <c r="D11" s="385">
        <v>26</v>
      </c>
      <c r="E11" s="472">
        <f t="shared" si="7"/>
        <v>66232.688080000007</v>
      </c>
      <c r="F11" s="472">
        <f t="shared" si="8"/>
        <v>5623.5301200000013</v>
      </c>
      <c r="G11" s="472">
        <f t="shared" si="9"/>
        <v>71856.218200000003</v>
      </c>
      <c r="H11" s="660">
        <f>0.48+0.22+0.22</f>
        <v>0.91999999999999993</v>
      </c>
      <c r="I11" s="660">
        <f>P20</f>
        <v>2.1</v>
      </c>
      <c r="J11" s="385">
        <v>300</v>
      </c>
      <c r="K11" s="912">
        <f>G11+J11</f>
        <v>72156.218200000003</v>
      </c>
      <c r="L11" s="920">
        <v>39033</v>
      </c>
      <c r="M11" s="92"/>
      <c r="N11" s="375"/>
      <c r="O11" s="375"/>
      <c r="P11" s="614">
        <f t="shared" si="10"/>
        <v>0.7</v>
      </c>
      <c r="Q11" s="615">
        <v>4</v>
      </c>
      <c r="R11" s="71">
        <v>0.1</v>
      </c>
    </row>
    <row r="12" spans="1:19" x14ac:dyDescent="0.2">
      <c r="A12" s="380" t="s">
        <v>727</v>
      </c>
      <c r="B12" s="382">
        <v>14</v>
      </c>
      <c r="C12" s="470">
        <f>M13+I12+H12</f>
        <v>24.53218</v>
      </c>
      <c r="D12" s="382">
        <v>26</v>
      </c>
      <c r="E12" s="470">
        <f>106*C12*D12</f>
        <v>67610.688079999993</v>
      </c>
      <c r="F12" s="470">
        <f>9*C12*D12</f>
        <v>5740.5301200000004</v>
      </c>
      <c r="G12" s="470">
        <f>E12+F12</f>
        <v>73351.218199999988</v>
      </c>
      <c r="H12" s="561">
        <f>0.22+0.88+0.22</f>
        <v>1.32</v>
      </c>
      <c r="I12" s="561">
        <f>P21</f>
        <v>2.2000000000000002</v>
      </c>
      <c r="J12" s="382">
        <v>300</v>
      </c>
      <c r="K12" s="428">
        <f>G12+J12</f>
        <v>73651.218199999988</v>
      </c>
      <c r="L12" s="593">
        <v>38942</v>
      </c>
      <c r="M12" s="523"/>
      <c r="N12" s="375"/>
      <c r="O12" s="375"/>
      <c r="P12" s="614">
        <f t="shared" si="10"/>
        <v>0.89999999999999991</v>
      </c>
      <c r="Q12" s="615">
        <v>5</v>
      </c>
      <c r="R12" s="71">
        <v>0.2</v>
      </c>
    </row>
    <row r="13" spans="1:19" x14ac:dyDescent="0.2">
      <c r="A13" s="384" t="s">
        <v>607</v>
      </c>
      <c r="B13" s="385">
        <v>12</v>
      </c>
      <c r="C13" s="472">
        <f>M13+I13+H13</f>
        <v>25.30218</v>
      </c>
      <c r="D13" s="385">
        <v>26</v>
      </c>
      <c r="E13" s="472">
        <f t="shared" si="7"/>
        <v>69732.808080000003</v>
      </c>
      <c r="F13" s="472">
        <f t="shared" si="8"/>
        <v>5920.7101199999997</v>
      </c>
      <c r="G13" s="472">
        <f t="shared" si="9"/>
        <v>75653.518200000006</v>
      </c>
      <c r="H13" s="660">
        <f>0.22+0.3+0.44+0.88+0.33+0.22</f>
        <v>2.39</v>
      </c>
      <c r="I13" s="660">
        <f>P19</f>
        <v>1.9000000000000001</v>
      </c>
      <c r="J13" s="385">
        <v>300</v>
      </c>
      <c r="K13" s="912">
        <f>G13+J13</f>
        <v>75953.518200000006</v>
      </c>
      <c r="L13" s="920">
        <v>39987</v>
      </c>
      <c r="M13" s="523">
        <f>20.42*1.029</f>
        <v>21.012180000000001</v>
      </c>
      <c r="N13" s="375"/>
      <c r="O13" s="375"/>
      <c r="P13" s="614">
        <f t="shared" si="10"/>
        <v>0.99999999999999989</v>
      </c>
      <c r="Q13" s="615">
        <v>6</v>
      </c>
      <c r="R13" s="71">
        <v>0.1</v>
      </c>
    </row>
    <row r="14" spans="1:19" x14ac:dyDescent="0.2">
      <c r="A14" s="384" t="s">
        <v>397</v>
      </c>
      <c r="B14" s="385">
        <v>11</v>
      </c>
      <c r="C14" s="472">
        <f>M13+I14+H14</f>
        <v>25.162180000000003</v>
      </c>
      <c r="D14" s="385">
        <v>26</v>
      </c>
      <c r="E14" s="472">
        <f t="shared" ref="E14" si="12">106*C14*D14</f>
        <v>69346.968080000021</v>
      </c>
      <c r="F14" s="472">
        <f t="shared" ref="F14" si="13">9*C14*D14</f>
        <v>5887.9501200000004</v>
      </c>
      <c r="G14" s="472">
        <f t="shared" ref="G14" si="14">E14+F14</f>
        <v>75234.918200000015</v>
      </c>
      <c r="H14" s="660">
        <f>0.22+0.48+0.22+0.88+0.33+0.22</f>
        <v>2.35</v>
      </c>
      <c r="I14" s="660">
        <f>P18</f>
        <v>1.8</v>
      </c>
      <c r="J14" s="385">
        <v>300</v>
      </c>
      <c r="K14" s="912">
        <f t="shared" ref="K14" si="15">G14+J14</f>
        <v>75534.918200000015</v>
      </c>
      <c r="L14" s="920">
        <v>39377</v>
      </c>
      <c r="M14" s="92"/>
      <c r="N14" s="375"/>
      <c r="O14" s="375"/>
      <c r="P14" s="614">
        <f t="shared" si="10"/>
        <v>1.2</v>
      </c>
      <c r="Q14" s="615">
        <v>7</v>
      </c>
      <c r="R14" s="71">
        <v>0.2</v>
      </c>
    </row>
    <row r="15" spans="1:19" x14ac:dyDescent="0.2">
      <c r="A15" s="380" t="s">
        <v>686</v>
      </c>
      <c r="B15" s="382">
        <v>10</v>
      </c>
      <c r="C15" s="470">
        <f>M13+I15+H15</f>
        <v>24.872180000000004</v>
      </c>
      <c r="D15" s="382">
        <v>26</v>
      </c>
      <c r="E15" s="470">
        <f t="shared" ref="E15:E18" si="16">106*C15*D15</f>
        <v>68547.728080000001</v>
      </c>
      <c r="F15" s="470">
        <f t="shared" ref="F15:F18" si="17">9*C15*D15</f>
        <v>5820.0901200000008</v>
      </c>
      <c r="G15" s="470">
        <f t="shared" ref="G15:G18" si="18">E15+F15</f>
        <v>74367.818200000009</v>
      </c>
      <c r="H15" s="561">
        <f>0.22+0.39+0.22+0.88+0.33+0.22</f>
        <v>2.2600000000000002</v>
      </c>
      <c r="I15" s="561">
        <f>P17</f>
        <v>1.6</v>
      </c>
      <c r="J15" s="382">
        <v>300</v>
      </c>
      <c r="K15" s="428">
        <f t="shared" ref="K15:K17" si="19">G15+J15</f>
        <v>74667.818200000009</v>
      </c>
      <c r="L15" s="593">
        <v>40419</v>
      </c>
      <c r="M15" s="523"/>
      <c r="N15" s="375"/>
      <c r="O15" s="375"/>
      <c r="P15" s="614">
        <f t="shared" si="10"/>
        <v>1.3</v>
      </c>
      <c r="Q15" s="615">
        <v>8</v>
      </c>
      <c r="R15" s="71">
        <v>0.1</v>
      </c>
      <c r="S15" s="375"/>
    </row>
    <row r="16" spans="1:19" x14ac:dyDescent="0.2">
      <c r="A16" s="380" t="s">
        <v>714</v>
      </c>
      <c r="B16" s="382">
        <v>7</v>
      </c>
      <c r="C16" s="470">
        <f>M13+I16+H16</f>
        <v>23.312180000000001</v>
      </c>
      <c r="D16" s="382">
        <v>26</v>
      </c>
      <c r="E16" s="470">
        <f t="shared" ref="E16" si="20">106*C16*D16</f>
        <v>64248.36808</v>
      </c>
      <c r="F16" s="470">
        <f t="shared" ref="F16" si="21">9*C16*D16</f>
        <v>5455.0501200000008</v>
      </c>
      <c r="G16" s="470">
        <f t="shared" ref="G16" si="22">E16+F16</f>
        <v>69703.4182</v>
      </c>
      <c r="H16" s="561">
        <f>0.66+0.22+0.22</f>
        <v>1.1000000000000001</v>
      </c>
      <c r="I16" s="561">
        <f>P14</f>
        <v>1.2</v>
      </c>
      <c r="J16" s="382">
        <v>300</v>
      </c>
      <c r="K16" s="428">
        <f>G16+J16</f>
        <v>70003.4182</v>
      </c>
      <c r="L16" s="593">
        <v>41365</v>
      </c>
      <c r="M16" s="921"/>
      <c r="N16" s="921"/>
      <c r="O16" s="375"/>
      <c r="P16" s="614">
        <f t="shared" si="10"/>
        <v>1.5</v>
      </c>
      <c r="Q16" s="615">
        <v>9</v>
      </c>
      <c r="R16" s="71">
        <v>0.2</v>
      </c>
    </row>
    <row r="17" spans="1:18" x14ac:dyDescent="0.2">
      <c r="A17" s="951" t="s">
        <v>705</v>
      </c>
      <c r="B17" s="379">
        <v>16</v>
      </c>
      <c r="C17" s="952">
        <f>M18+I17+H17</f>
        <v>20.502559999999999</v>
      </c>
      <c r="D17" s="379">
        <v>26</v>
      </c>
      <c r="E17" s="952">
        <f t="shared" si="16"/>
        <v>56505.055359999991</v>
      </c>
      <c r="F17" s="952">
        <f t="shared" si="17"/>
        <v>4797.5990399999991</v>
      </c>
      <c r="G17" s="952">
        <f t="shared" si="18"/>
        <v>61302.654399999992</v>
      </c>
      <c r="H17" s="953">
        <f>0.22+0.22+0.22+0.22</f>
        <v>0.88</v>
      </c>
      <c r="I17" s="953">
        <f>P23</f>
        <v>2.5000000000000004</v>
      </c>
      <c r="J17" s="379">
        <v>300</v>
      </c>
      <c r="K17" s="954">
        <f t="shared" si="19"/>
        <v>61602.654399999992</v>
      </c>
      <c r="L17" s="955">
        <v>38249</v>
      </c>
      <c r="M17" s="523"/>
      <c r="N17" s="375"/>
      <c r="O17" s="375"/>
      <c r="P17" s="614">
        <f>P16+R17</f>
        <v>1.6</v>
      </c>
      <c r="Q17" s="615">
        <v>10</v>
      </c>
      <c r="R17" s="71">
        <v>0.1</v>
      </c>
    </row>
    <row r="18" spans="1:18" x14ac:dyDescent="0.2">
      <c r="A18" s="380" t="s">
        <v>801</v>
      </c>
      <c r="B18" s="382">
        <v>12</v>
      </c>
      <c r="C18" s="470">
        <f>M18+I18+H18</f>
        <v>20.752559999999999</v>
      </c>
      <c r="D18" s="382">
        <v>26</v>
      </c>
      <c r="E18" s="470">
        <f t="shared" si="16"/>
        <v>57194.055359999991</v>
      </c>
      <c r="F18" s="470">
        <f t="shared" si="17"/>
        <v>4856.0990399999991</v>
      </c>
      <c r="G18" s="470">
        <f t="shared" si="18"/>
        <v>62050.154399999992</v>
      </c>
      <c r="H18" s="561">
        <f>0.3+0.88+0.33+0.22</f>
        <v>1.73</v>
      </c>
      <c r="I18" s="561">
        <f>P19</f>
        <v>1.9000000000000001</v>
      </c>
      <c r="J18" s="382">
        <v>300</v>
      </c>
      <c r="K18" s="428">
        <f>G18+J18</f>
        <v>62350.154399999992</v>
      </c>
      <c r="L18" s="593">
        <v>39649</v>
      </c>
      <c r="M18" s="522">
        <f>16.64*1.029</f>
        <v>17.12256</v>
      </c>
      <c r="N18" s="24" t="s">
        <v>314</v>
      </c>
      <c r="P18" s="614">
        <f t="shared" si="10"/>
        <v>1.8</v>
      </c>
      <c r="Q18" s="615">
        <v>11</v>
      </c>
      <c r="R18" s="71">
        <v>0.2</v>
      </c>
    </row>
    <row r="19" spans="1:18" x14ac:dyDescent="0.2">
      <c r="A19" s="384" t="s">
        <v>802</v>
      </c>
      <c r="B19" s="385">
        <v>10</v>
      </c>
      <c r="C19" s="472">
        <f>M18+I19+H19</f>
        <v>20.432560000000002</v>
      </c>
      <c r="D19" s="385">
        <v>26</v>
      </c>
      <c r="E19" s="472">
        <f>106*C19*D19</f>
        <v>56312.13536</v>
      </c>
      <c r="F19" s="472">
        <f>9*C19*D19</f>
        <v>4781.2190399999999</v>
      </c>
      <c r="G19" s="472">
        <f>E19+F19</f>
        <v>61093.354399999997</v>
      </c>
      <c r="H19" s="660">
        <f>0.39+0.88+0.22+0.22</f>
        <v>1.71</v>
      </c>
      <c r="I19" s="660">
        <f>P17</f>
        <v>1.6</v>
      </c>
      <c r="J19" s="385">
        <v>300</v>
      </c>
      <c r="K19" s="912">
        <f t="shared" ref="K19:K24" si="23">G19+J19</f>
        <v>61393.354399999997</v>
      </c>
      <c r="L19" s="920">
        <v>40078</v>
      </c>
      <c r="M19" s="92"/>
      <c r="P19" s="614">
        <f t="shared" si="10"/>
        <v>1.9000000000000001</v>
      </c>
      <c r="Q19" s="615">
        <v>12</v>
      </c>
      <c r="R19" s="71">
        <v>0.1</v>
      </c>
    </row>
    <row r="20" spans="1:18" x14ac:dyDescent="0.2">
      <c r="A20" s="380" t="s">
        <v>803</v>
      </c>
      <c r="B20" s="382">
        <v>5</v>
      </c>
      <c r="C20" s="470">
        <f>M18+I20+H20</f>
        <v>18.542559999999998</v>
      </c>
      <c r="D20" s="382">
        <v>26</v>
      </c>
      <c r="E20" s="470">
        <f t="shared" ref="E20:E21" si="24">106*C20*D20</f>
        <v>51103.295359999996</v>
      </c>
      <c r="F20" s="470">
        <f t="shared" ref="F20:F21" si="25">9*C20*D20</f>
        <v>4338.9590399999997</v>
      </c>
      <c r="G20" s="470">
        <f t="shared" ref="G20:G23" si="26">E20+F20</f>
        <v>55442.254399999998</v>
      </c>
      <c r="H20" s="561">
        <f>0.3+0.22</f>
        <v>0.52</v>
      </c>
      <c r="I20" s="561">
        <f>P12</f>
        <v>0.89999999999999991</v>
      </c>
      <c r="J20" s="382">
        <v>300</v>
      </c>
      <c r="K20" s="428">
        <f t="shared" si="23"/>
        <v>55742.254399999998</v>
      </c>
      <c r="L20" s="593">
        <v>42122</v>
      </c>
      <c r="M20" s="522">
        <f>16.11*1.029</f>
        <v>16.577189999999998</v>
      </c>
      <c r="N20" s="24" t="s">
        <v>315</v>
      </c>
      <c r="P20" s="614">
        <f t="shared" si="10"/>
        <v>2.1</v>
      </c>
      <c r="Q20" s="615">
        <v>13</v>
      </c>
      <c r="R20" s="71">
        <v>0.2</v>
      </c>
    </row>
    <row r="21" spans="1:18" x14ac:dyDescent="0.2">
      <c r="A21" s="380" t="s">
        <v>706</v>
      </c>
      <c r="B21" s="382">
        <v>4</v>
      </c>
      <c r="C21" s="470">
        <f>M18+I21+H21</f>
        <v>19.362559999999998</v>
      </c>
      <c r="D21" s="382">
        <v>26</v>
      </c>
      <c r="E21" s="470">
        <f t="shared" si="24"/>
        <v>53363.215360000002</v>
      </c>
      <c r="F21" s="470">
        <f t="shared" si="25"/>
        <v>4530.8390399999998</v>
      </c>
      <c r="G21" s="470">
        <f t="shared" si="26"/>
        <v>57894.054400000001</v>
      </c>
      <c r="H21" s="561">
        <f>0.22+0.44+0.88</f>
        <v>1.54</v>
      </c>
      <c r="I21" s="561">
        <f>P11</f>
        <v>0.7</v>
      </c>
      <c r="J21" s="382">
        <v>300</v>
      </c>
      <c r="K21" s="428">
        <f t="shared" si="23"/>
        <v>58194.054400000001</v>
      </c>
      <c r="L21" s="593">
        <v>42421</v>
      </c>
      <c r="M21" s="523"/>
      <c r="N21" s="92"/>
      <c r="P21" s="614">
        <f t="shared" si="10"/>
        <v>2.2000000000000002</v>
      </c>
      <c r="Q21" s="615">
        <v>14</v>
      </c>
      <c r="R21" s="71">
        <v>0.1</v>
      </c>
    </row>
    <row r="22" spans="1:18" x14ac:dyDescent="0.2">
      <c r="A22" s="380" t="s">
        <v>804</v>
      </c>
      <c r="B22" s="382">
        <v>4</v>
      </c>
      <c r="C22" s="470">
        <f>M18+I22+H22</f>
        <v>18.742559999999997</v>
      </c>
      <c r="D22" s="382">
        <v>26</v>
      </c>
      <c r="E22" s="470">
        <f>106*C22*D22</f>
        <v>51654.495359999994</v>
      </c>
      <c r="F22" s="470">
        <f>9*C22*D22</f>
        <v>4385.759039999999</v>
      </c>
      <c r="G22" s="470">
        <f t="shared" si="26"/>
        <v>56040.254399999991</v>
      </c>
      <c r="H22" s="561">
        <f>0.48+0.44</f>
        <v>0.91999999999999993</v>
      </c>
      <c r="I22" s="561">
        <f>P11</f>
        <v>0.7</v>
      </c>
      <c r="J22" s="382">
        <v>300</v>
      </c>
      <c r="K22" s="428">
        <f t="shared" si="23"/>
        <v>56340.254399999991</v>
      </c>
      <c r="L22" s="593">
        <v>42429</v>
      </c>
      <c r="M22" s="523"/>
      <c r="N22" s="92"/>
      <c r="P22" s="614">
        <f t="shared" si="10"/>
        <v>2.4000000000000004</v>
      </c>
      <c r="Q22" s="615">
        <v>15</v>
      </c>
      <c r="R22" s="71">
        <v>0.2</v>
      </c>
    </row>
    <row r="23" spans="1:18" x14ac:dyDescent="0.2">
      <c r="A23" s="380" t="s">
        <v>805</v>
      </c>
      <c r="B23" s="382">
        <v>4</v>
      </c>
      <c r="C23" s="470">
        <f>M18+I23+H23</f>
        <v>18.042559999999998</v>
      </c>
      <c r="D23" s="382">
        <v>26</v>
      </c>
      <c r="E23" s="470">
        <f>106*C23*D23</f>
        <v>49725.295359999996</v>
      </c>
      <c r="F23" s="470">
        <f>9*C23*D23</f>
        <v>4221.9590399999997</v>
      </c>
      <c r="G23" s="470">
        <f t="shared" si="26"/>
        <v>53947.254399999998</v>
      </c>
      <c r="H23" s="561">
        <f>0.22</f>
        <v>0.22</v>
      </c>
      <c r="I23" s="561">
        <f>P11</f>
        <v>0.7</v>
      </c>
      <c r="J23" s="382">
        <v>300</v>
      </c>
      <c r="K23" s="428">
        <f t="shared" si="23"/>
        <v>54247.254399999998</v>
      </c>
      <c r="L23" s="593">
        <v>42429</v>
      </c>
      <c r="M23" s="523"/>
      <c r="N23" s="92"/>
      <c r="P23" s="614">
        <f t="shared" si="10"/>
        <v>2.5000000000000004</v>
      </c>
      <c r="Q23" s="615">
        <v>16</v>
      </c>
      <c r="R23" s="71">
        <v>0.1</v>
      </c>
    </row>
    <row r="24" spans="1:18" x14ac:dyDescent="0.2">
      <c r="A24" s="380" t="s">
        <v>806</v>
      </c>
      <c r="B24" s="382">
        <v>4</v>
      </c>
      <c r="C24" s="470">
        <f>M18+I24+H24</f>
        <v>18.042559999999998</v>
      </c>
      <c r="D24" s="382">
        <v>26</v>
      </c>
      <c r="E24" s="470">
        <f>106*C24*D24</f>
        <v>49725.295359999996</v>
      </c>
      <c r="F24" s="470">
        <f>9*C24*D24</f>
        <v>4221.9590399999997</v>
      </c>
      <c r="G24" s="470">
        <f>E24+F24</f>
        <v>53947.254399999998</v>
      </c>
      <c r="H24" s="561">
        <f>0.22</f>
        <v>0.22</v>
      </c>
      <c r="I24" s="561">
        <f>P11</f>
        <v>0.7</v>
      </c>
      <c r="J24" s="382">
        <v>300</v>
      </c>
      <c r="K24" s="428">
        <f t="shared" si="23"/>
        <v>54247.254399999998</v>
      </c>
      <c r="L24" s="593">
        <v>42604</v>
      </c>
      <c r="M24" s="523"/>
      <c r="N24" s="92"/>
      <c r="P24" s="614">
        <f t="shared" si="10"/>
        <v>2.7000000000000006</v>
      </c>
      <c r="Q24" s="615">
        <v>17</v>
      </c>
      <c r="R24" s="71">
        <v>0.2</v>
      </c>
    </row>
    <row r="25" spans="1:18" x14ac:dyDescent="0.2">
      <c r="A25" s="380" t="s">
        <v>707</v>
      </c>
      <c r="B25" s="382">
        <v>3</v>
      </c>
      <c r="C25" s="470">
        <f>M18+I25+H25</f>
        <v>18.112560000000002</v>
      </c>
      <c r="D25" s="382">
        <v>26</v>
      </c>
      <c r="E25" s="470">
        <f t="shared" ref="E25:E31" si="27">106*C25*D25</f>
        <v>49918.215360000009</v>
      </c>
      <c r="F25" s="470">
        <f t="shared" ref="F25:F31" si="28">9*C25*D25</f>
        <v>4238.3390400000008</v>
      </c>
      <c r="G25" s="470">
        <f t="shared" ref="G25:G31" si="29">E25+F25</f>
        <v>54156.554400000008</v>
      </c>
      <c r="H25" s="561">
        <f>0.39</f>
        <v>0.39</v>
      </c>
      <c r="I25" s="561">
        <f>P10</f>
        <v>0.6</v>
      </c>
      <c r="J25" s="382">
        <v>300</v>
      </c>
      <c r="K25" s="428">
        <f t="shared" ref="K25:K31" si="30">G25+J25</f>
        <v>54456.554400000008</v>
      </c>
      <c r="L25" s="593">
        <v>42632</v>
      </c>
      <c r="M25" s="523"/>
      <c r="N25" s="92"/>
      <c r="P25" s="614">
        <f t="shared" si="10"/>
        <v>2.8000000000000007</v>
      </c>
      <c r="Q25" s="615">
        <v>18</v>
      </c>
      <c r="R25" s="71">
        <v>0.1</v>
      </c>
    </row>
    <row r="26" spans="1:18" x14ac:dyDescent="0.2">
      <c r="A26" s="380" t="s">
        <v>807</v>
      </c>
      <c r="B26" s="382">
        <v>3</v>
      </c>
      <c r="C26" s="470">
        <f>M18+I26+H26</f>
        <v>17.94256</v>
      </c>
      <c r="D26" s="382">
        <v>26</v>
      </c>
      <c r="E26" s="470">
        <f t="shared" si="27"/>
        <v>49449.695359999998</v>
      </c>
      <c r="F26" s="470">
        <f t="shared" si="28"/>
        <v>4198.5590400000001</v>
      </c>
      <c r="G26" s="470">
        <f t="shared" si="29"/>
        <v>53648.254399999998</v>
      </c>
      <c r="H26" s="561">
        <f>0.22</f>
        <v>0.22</v>
      </c>
      <c r="I26" s="561">
        <f>P10</f>
        <v>0.6</v>
      </c>
      <c r="J26" s="382">
        <v>300</v>
      </c>
      <c r="K26" s="428">
        <f t="shared" si="30"/>
        <v>53948.254399999998</v>
      </c>
      <c r="L26" s="593">
        <v>42758</v>
      </c>
      <c r="M26" s="523"/>
      <c r="N26" s="92"/>
      <c r="P26" s="614">
        <f t="shared" si="10"/>
        <v>3.0000000000000009</v>
      </c>
      <c r="Q26" s="615">
        <v>19</v>
      </c>
      <c r="R26" s="71">
        <v>0.2</v>
      </c>
    </row>
    <row r="27" spans="1:18" x14ac:dyDescent="0.2">
      <c r="A27" s="380" t="s">
        <v>708</v>
      </c>
      <c r="B27" s="382">
        <v>3</v>
      </c>
      <c r="C27" s="470">
        <f>M18+I27+H27</f>
        <v>18.772560000000002</v>
      </c>
      <c r="D27" s="382">
        <v>26</v>
      </c>
      <c r="E27" s="470">
        <f t="shared" si="27"/>
        <v>51737.175360000008</v>
      </c>
      <c r="F27" s="470">
        <f t="shared" si="28"/>
        <v>4392.7790400000004</v>
      </c>
      <c r="G27" s="470">
        <f t="shared" si="29"/>
        <v>56129.95440000001</v>
      </c>
      <c r="H27" s="561">
        <f>0.39+0.33+0.33</f>
        <v>1.05</v>
      </c>
      <c r="I27" s="561">
        <f>P10</f>
        <v>0.6</v>
      </c>
      <c r="J27" s="382">
        <v>300</v>
      </c>
      <c r="K27" s="428">
        <f t="shared" si="30"/>
        <v>56429.95440000001</v>
      </c>
      <c r="L27" s="593">
        <v>42807</v>
      </c>
      <c r="M27" s="523"/>
      <c r="N27" s="92"/>
      <c r="P27" s="614">
        <f t="shared" si="10"/>
        <v>3.100000000000001</v>
      </c>
      <c r="Q27" s="615">
        <v>20</v>
      </c>
      <c r="R27" s="71">
        <v>0.1</v>
      </c>
    </row>
    <row r="28" spans="1:18" x14ac:dyDescent="0.2">
      <c r="A28" s="380" t="s">
        <v>709</v>
      </c>
      <c r="B28" s="382">
        <v>3</v>
      </c>
      <c r="C28" s="470">
        <f>M18+I28+H28</f>
        <v>18.992560000000001</v>
      </c>
      <c r="D28" s="382">
        <v>26</v>
      </c>
      <c r="E28" s="470">
        <f t="shared" si="27"/>
        <v>52343.495360000001</v>
      </c>
      <c r="F28" s="470">
        <f t="shared" si="28"/>
        <v>4444.2590399999999</v>
      </c>
      <c r="G28" s="470">
        <f t="shared" si="29"/>
        <v>56787.754399999998</v>
      </c>
      <c r="H28" s="561">
        <f>0.39+0.88</f>
        <v>1.27</v>
      </c>
      <c r="I28" s="561">
        <f>P10</f>
        <v>0.6</v>
      </c>
      <c r="J28" s="382">
        <v>300</v>
      </c>
      <c r="K28" s="428">
        <f t="shared" si="30"/>
        <v>57087.754399999998</v>
      </c>
      <c r="L28" s="593">
        <v>42807</v>
      </c>
      <c r="M28" s="523"/>
      <c r="N28" s="92"/>
      <c r="P28" s="614">
        <f t="shared" si="10"/>
        <v>3.3000000000000012</v>
      </c>
      <c r="Q28" s="615">
        <v>21</v>
      </c>
      <c r="R28" s="71">
        <v>0.2</v>
      </c>
    </row>
    <row r="29" spans="1:18" x14ac:dyDescent="0.2">
      <c r="A29" s="380" t="s">
        <v>710</v>
      </c>
      <c r="B29" s="382">
        <v>5</v>
      </c>
      <c r="C29" s="470">
        <f>M18+I29+H29</f>
        <v>18.412559999999999</v>
      </c>
      <c r="D29" s="382">
        <v>26</v>
      </c>
      <c r="E29" s="470">
        <f t="shared" si="27"/>
        <v>50745.015359999998</v>
      </c>
      <c r="F29" s="470">
        <f t="shared" ref="F29" si="31">9*C29*D29</f>
        <v>4308.5390399999997</v>
      </c>
      <c r="G29" s="470">
        <f t="shared" ref="G29" si="32">E29+F29</f>
        <v>55053.554399999994</v>
      </c>
      <c r="H29" s="561">
        <f>0.39</f>
        <v>0.39</v>
      </c>
      <c r="I29" s="561">
        <f>P12</f>
        <v>0.89999999999999991</v>
      </c>
      <c r="J29" s="382">
        <v>300</v>
      </c>
      <c r="K29" s="428">
        <f t="shared" ref="K29" si="33">G29+J29</f>
        <v>55353.554399999994</v>
      </c>
      <c r="L29" s="593">
        <v>42895</v>
      </c>
      <c r="M29" s="523"/>
      <c r="N29" s="92"/>
      <c r="P29" s="614">
        <f t="shared" si="10"/>
        <v>3.4000000000000012</v>
      </c>
      <c r="Q29" s="615">
        <v>22</v>
      </c>
      <c r="R29" s="71">
        <v>0.1</v>
      </c>
    </row>
    <row r="30" spans="1:18" x14ac:dyDescent="0.2">
      <c r="A30" s="971" t="s">
        <v>713</v>
      </c>
      <c r="B30" s="427">
        <v>2</v>
      </c>
      <c r="C30" s="972">
        <f>M18+I30+H30</f>
        <v>17.96256</v>
      </c>
      <c r="D30" s="427">
        <v>26</v>
      </c>
      <c r="E30" s="972">
        <f t="shared" si="27"/>
        <v>49504.815360000001</v>
      </c>
      <c r="F30" s="972">
        <f t="shared" si="28"/>
        <v>4203.2390399999995</v>
      </c>
      <c r="G30" s="972">
        <f t="shared" si="29"/>
        <v>53708.054400000001</v>
      </c>
      <c r="H30" s="654">
        <f>0.39</f>
        <v>0.39</v>
      </c>
      <c r="I30" s="654">
        <f>P9</f>
        <v>0.45</v>
      </c>
      <c r="J30" s="427">
        <v>300</v>
      </c>
      <c r="K30" s="973">
        <f t="shared" si="30"/>
        <v>54008.054400000001</v>
      </c>
      <c r="L30" s="974">
        <v>43030</v>
      </c>
      <c r="M30" s="523"/>
      <c r="N30" s="92"/>
      <c r="P30" s="614">
        <f t="shared" ref="P30:P35" si="34">P29+R30</f>
        <v>3.6000000000000014</v>
      </c>
      <c r="Q30" s="615">
        <v>23</v>
      </c>
      <c r="R30" s="71">
        <v>0.2</v>
      </c>
    </row>
    <row r="31" spans="1:18" x14ac:dyDescent="0.2">
      <c r="A31" s="35" t="s">
        <v>715</v>
      </c>
      <c r="B31" s="71">
        <v>2</v>
      </c>
      <c r="C31" s="470">
        <f>M18+I31+H31</f>
        <v>17.572559999999999</v>
      </c>
      <c r="D31" s="71">
        <v>26</v>
      </c>
      <c r="E31" s="470">
        <f t="shared" si="27"/>
        <v>48429.975360000004</v>
      </c>
      <c r="F31" s="470">
        <f t="shared" si="28"/>
        <v>4111.9790400000002</v>
      </c>
      <c r="G31" s="470">
        <f t="shared" si="29"/>
        <v>52541.954400000002</v>
      </c>
      <c r="H31" s="561">
        <v>0</v>
      </c>
      <c r="I31" s="561">
        <f>P9</f>
        <v>0.45</v>
      </c>
      <c r="J31" s="71">
        <v>300</v>
      </c>
      <c r="K31" s="428">
        <f t="shared" si="30"/>
        <v>52841.954400000002</v>
      </c>
      <c r="L31" s="975">
        <v>43066</v>
      </c>
      <c r="M31" s="523"/>
      <c r="N31" s="92"/>
      <c r="P31" s="614">
        <f>P30+R31</f>
        <v>3.7000000000000015</v>
      </c>
      <c r="Q31" s="615">
        <v>24</v>
      </c>
      <c r="R31" s="71">
        <v>0.1</v>
      </c>
    </row>
    <row r="32" spans="1:18" x14ac:dyDescent="0.2">
      <c r="A32" s="537"/>
      <c r="B32" s="957"/>
      <c r="C32" s="957"/>
      <c r="D32" s="957"/>
      <c r="E32" s="957"/>
      <c r="F32" s="957"/>
      <c r="G32" s="957"/>
      <c r="H32" s="426"/>
      <c r="I32" s="957"/>
      <c r="J32" s="957"/>
      <c r="K32" s="976"/>
      <c r="L32" s="537"/>
      <c r="M32" s="918"/>
      <c r="N32" s="919"/>
      <c r="P32" s="614">
        <f>P31+R32</f>
        <v>3.9000000000000017</v>
      </c>
      <c r="Q32" s="615">
        <v>25</v>
      </c>
      <c r="R32" s="71">
        <v>0.2</v>
      </c>
    </row>
    <row r="33" spans="1:22" ht="13.5" x14ac:dyDescent="0.25">
      <c r="A33" s="384" t="s">
        <v>54</v>
      </c>
      <c r="B33" s="914">
        <f>AVERAGE(B2:B31)</f>
        <v>9.7666666666666675</v>
      </c>
      <c r="C33" s="915">
        <f>AVERAGE(C3:C31)</f>
        <v>23.426166551724133</v>
      </c>
      <c r="D33" s="385"/>
      <c r="E33" s="915">
        <f>SUM(E3:E31)</f>
        <v>1872312.9354800002</v>
      </c>
      <c r="F33" s="472">
        <f>SUM(F3:F31)</f>
        <v>158969.96621999997</v>
      </c>
      <c r="G33" s="915">
        <f>SUM(G3:G31)</f>
        <v>2031282.9016999996</v>
      </c>
      <c r="H33" s="915">
        <f>AVERAGE(H3:H31)</f>
        <v>1.3755172413793106</v>
      </c>
      <c r="I33" s="915">
        <f>AVERAGE(I3:I31)</f>
        <v>1.496551724137932</v>
      </c>
      <c r="J33" s="915">
        <f>SUM(J3:J31)</f>
        <v>8700</v>
      </c>
      <c r="K33" s="912">
        <f>SUM(K2:K31)</f>
        <v>2144706.6184999999</v>
      </c>
      <c r="L33" s="375"/>
      <c r="M33" s="521"/>
      <c r="P33" s="614">
        <f>P32+R33</f>
        <v>4.0000000000000018</v>
      </c>
      <c r="Q33" s="615">
        <v>26</v>
      </c>
      <c r="R33" s="71">
        <v>0.1</v>
      </c>
    </row>
    <row r="34" spans="1:22" x14ac:dyDescent="0.2">
      <c r="A34" s="384" t="s">
        <v>55</v>
      </c>
      <c r="B34" s="385"/>
      <c r="C34" s="385" t="s">
        <v>400</v>
      </c>
      <c r="D34" s="385"/>
      <c r="E34" s="385"/>
      <c r="F34" s="385"/>
      <c r="G34" s="385"/>
      <c r="H34" s="385"/>
      <c r="I34" s="909"/>
      <c r="J34" s="909"/>
      <c r="K34" s="910">
        <v>135000</v>
      </c>
      <c r="L34" s="375"/>
      <c r="M34" s="521"/>
      <c r="O34"/>
      <c r="P34" s="614">
        <f>P33+R34</f>
        <v>4.200000000000002</v>
      </c>
      <c r="Q34" s="615">
        <v>27</v>
      </c>
      <c r="R34" s="71">
        <v>0.2</v>
      </c>
    </row>
    <row r="35" spans="1:22" x14ac:dyDescent="0.2">
      <c r="A35" s="380" t="s">
        <v>163</v>
      </c>
      <c r="B35" s="382"/>
      <c r="C35" s="382" t="s">
        <v>474</v>
      </c>
      <c r="D35" s="382"/>
      <c r="E35" s="382"/>
      <c r="F35" s="382"/>
      <c r="G35" s="382"/>
      <c r="H35" s="382"/>
      <c r="I35" s="487"/>
      <c r="J35" s="487"/>
      <c r="K35" s="586">
        <v>35000</v>
      </c>
      <c r="L35" s="375"/>
      <c r="M35" s="521"/>
      <c r="O35"/>
      <c r="P35" s="614">
        <f t="shared" si="34"/>
        <v>4.3000000000000016</v>
      </c>
      <c r="Q35" s="615">
        <v>28</v>
      </c>
      <c r="R35" s="71">
        <v>0.1</v>
      </c>
    </row>
    <row r="36" spans="1:22" x14ac:dyDescent="0.2">
      <c r="A36" s="380" t="s">
        <v>433</v>
      </c>
      <c r="B36" s="382"/>
      <c r="C36" s="382"/>
      <c r="D36" s="382"/>
      <c r="E36" s="382"/>
      <c r="F36" s="381"/>
      <c r="G36" s="381"/>
      <c r="H36" s="381"/>
      <c r="I36" s="401"/>
      <c r="J36" s="401"/>
      <c r="K36" s="585">
        <f>M36*2000</f>
        <v>25993.7</v>
      </c>
      <c r="L36" s="375"/>
      <c r="M36" s="521">
        <f>12.65*1.029-0.02</f>
        <v>12.99685</v>
      </c>
      <c r="N36"/>
      <c r="P36" s="614">
        <f>P35+R36</f>
        <v>4.5000000000000018</v>
      </c>
      <c r="Q36" s="615">
        <v>29</v>
      </c>
      <c r="R36" s="71">
        <v>0.2</v>
      </c>
    </row>
    <row r="37" spans="1:22" ht="15" customHeight="1" thickBot="1" x14ac:dyDescent="0.25">
      <c r="A37" s="386"/>
      <c r="B37" s="387"/>
      <c r="C37" s="387"/>
      <c r="D37" s="387"/>
      <c r="E37" s="387"/>
      <c r="F37" s="387"/>
      <c r="G37" s="387" t="s">
        <v>58</v>
      </c>
      <c r="H37" s="387"/>
      <c r="I37" s="388"/>
      <c r="J37" s="388"/>
      <c r="K37" s="534">
        <f>SUM(K33:K36)</f>
        <v>2340700.3185000001</v>
      </c>
      <c r="L37" s="375"/>
      <c r="M37" s="521"/>
      <c r="P37" s="614">
        <f>P36+R37</f>
        <v>4.6000000000000014</v>
      </c>
      <c r="Q37" s="615">
        <v>30</v>
      </c>
      <c r="R37" s="71">
        <v>0.1</v>
      </c>
    </row>
    <row r="38" spans="1:22" ht="15" customHeight="1" x14ac:dyDescent="0.2">
      <c r="A38" s="375"/>
      <c r="B38" s="375"/>
      <c r="C38" s="375"/>
      <c r="D38" s="375"/>
      <c r="E38" s="375"/>
      <c r="F38" s="375"/>
      <c r="G38" s="375"/>
      <c r="I38" s="375"/>
      <c r="J38" s="375"/>
      <c r="K38" s="375"/>
      <c r="L38" s="375"/>
      <c r="M38" s="521"/>
    </row>
    <row r="39" spans="1:22" ht="15" customHeight="1" x14ac:dyDescent="0.3">
      <c r="A39" s="963" t="s">
        <v>333</v>
      </c>
      <c r="B39" s="964" t="s">
        <v>50</v>
      </c>
      <c r="C39" s="964" t="s">
        <v>51</v>
      </c>
      <c r="D39" s="964" t="s">
        <v>52</v>
      </c>
      <c r="E39" s="964" t="s">
        <v>332</v>
      </c>
      <c r="F39" s="964" t="s">
        <v>367</v>
      </c>
      <c r="G39" s="964" t="s">
        <v>53</v>
      </c>
      <c r="H39" s="964" t="s">
        <v>493</v>
      </c>
      <c r="I39" s="964" t="s">
        <v>494</v>
      </c>
      <c r="J39" s="964" t="s">
        <v>585</v>
      </c>
      <c r="K39" s="965" t="s">
        <v>331</v>
      </c>
      <c r="L39" s="961" t="s">
        <v>325</v>
      </c>
      <c r="M39" s="962" t="s">
        <v>649</v>
      </c>
      <c r="P39" s="402"/>
      <c r="Q39" s="400"/>
    </row>
    <row r="40" spans="1:22" ht="18" customHeight="1" x14ac:dyDescent="0.2">
      <c r="A40" s="380" t="s">
        <v>432</v>
      </c>
      <c r="B40" s="382">
        <v>24</v>
      </c>
      <c r="C40" s="470">
        <f>M40+H40+I40</f>
        <v>77.571009999999987</v>
      </c>
      <c r="D40" s="382">
        <v>26</v>
      </c>
      <c r="E40" s="470">
        <f>C40*D40*80</f>
        <v>161347.70079999996</v>
      </c>
      <c r="F40" s="470"/>
      <c r="G40" s="470">
        <f t="shared" ref="G40:G43" si="35">E40</f>
        <v>161347.70079999996</v>
      </c>
      <c r="H40" s="561">
        <f>1.15+0.58+0.43</f>
        <v>2.16</v>
      </c>
      <c r="I40" s="562">
        <f>P31</f>
        <v>3.7000000000000015</v>
      </c>
      <c r="J40" s="558">
        <v>300</v>
      </c>
      <c r="K40" s="428">
        <f>G40+J40</f>
        <v>161647.70079999996</v>
      </c>
      <c r="L40" s="518">
        <v>38626</v>
      </c>
      <c r="M40" s="470">
        <f>69.69*1.029</f>
        <v>71.711009999999987</v>
      </c>
    </row>
    <row r="41" spans="1:22" ht="18" customHeight="1" x14ac:dyDescent="0.25">
      <c r="A41" s="530" t="s">
        <v>457</v>
      </c>
      <c r="B41" s="382">
        <v>7</v>
      </c>
      <c r="C41" s="470">
        <f>M41+I41</f>
        <v>41.464770000000001</v>
      </c>
      <c r="D41" s="382">
        <v>26</v>
      </c>
      <c r="E41" s="532">
        <f>C41*D41*80</f>
        <v>86246.721600000004</v>
      </c>
      <c r="F41" s="533"/>
      <c r="G41" s="470">
        <f t="shared" si="35"/>
        <v>86246.721600000004</v>
      </c>
      <c r="H41" s="592"/>
      <c r="I41" s="562">
        <f>P14</f>
        <v>1.2</v>
      </c>
      <c r="J41" s="591"/>
      <c r="K41" s="428">
        <f>G41</f>
        <v>86246.721600000004</v>
      </c>
      <c r="L41" s="518">
        <v>41169</v>
      </c>
      <c r="M41" s="470">
        <f>39.13*1.029</f>
        <v>40.264769999999999</v>
      </c>
    </row>
    <row r="42" spans="1:22" ht="18" customHeight="1" x14ac:dyDescent="0.2">
      <c r="A42" s="380" t="s">
        <v>639</v>
      </c>
      <c r="B42" s="382"/>
      <c r="C42" s="470">
        <f>M42+I42</f>
        <v>0</v>
      </c>
      <c r="D42" s="382">
        <v>26</v>
      </c>
      <c r="E42" s="470">
        <f>C42*D42*60</f>
        <v>0</v>
      </c>
      <c r="F42" s="470"/>
      <c r="G42" s="470">
        <f t="shared" si="35"/>
        <v>0</v>
      </c>
      <c r="H42" s="592"/>
      <c r="I42" s="598"/>
      <c r="J42" s="591"/>
      <c r="K42" s="506">
        <f>G42</f>
        <v>0</v>
      </c>
      <c r="L42" s="518"/>
      <c r="M42" s="470">
        <v>0</v>
      </c>
      <c r="N42" s="375"/>
      <c r="P42" s="375"/>
    </row>
    <row r="43" spans="1:22" ht="18" customHeight="1" x14ac:dyDescent="0.2">
      <c r="A43" s="380" t="s">
        <v>691</v>
      </c>
      <c r="B43" s="382">
        <v>2</v>
      </c>
      <c r="C43" s="470">
        <f>M43+H43+I43</f>
        <v>32.224919999999997</v>
      </c>
      <c r="D43" s="382">
        <v>26</v>
      </c>
      <c r="E43" s="470">
        <f>C43*D43*80</f>
        <v>67027.833599999998</v>
      </c>
      <c r="F43" s="470"/>
      <c r="G43" s="470">
        <f t="shared" si="35"/>
        <v>67027.833599999998</v>
      </c>
      <c r="H43" s="562">
        <f>1.15+0.29</f>
        <v>1.44</v>
      </c>
      <c r="I43" s="562">
        <f>P9</f>
        <v>0.45</v>
      </c>
      <c r="J43" s="999">
        <v>300</v>
      </c>
      <c r="K43" s="428">
        <f>G43+J43</f>
        <v>67327.833599999998</v>
      </c>
      <c r="L43" s="519">
        <v>43010</v>
      </c>
      <c r="M43" s="612">
        <f>29.48*1.029</f>
        <v>30.334919999999997</v>
      </c>
    </row>
    <row r="44" spans="1:22" ht="18" customHeight="1" x14ac:dyDescent="0.2">
      <c r="A44" s="380" t="s">
        <v>401</v>
      </c>
      <c r="B44" s="382"/>
      <c r="C44" s="382" t="s">
        <v>742</v>
      </c>
      <c r="D44" s="382"/>
      <c r="E44" s="382"/>
      <c r="F44" s="382"/>
      <c r="G44" s="382"/>
      <c r="H44" s="561"/>
      <c r="I44" s="562"/>
      <c r="J44" s="558"/>
      <c r="K44" s="585">
        <v>115000</v>
      </c>
      <c r="M44" s="251"/>
      <c r="O44" s="375" t="s">
        <v>404</v>
      </c>
      <c r="P44" s="92"/>
      <c r="Q44" s="92"/>
      <c r="R44" s="24" t="s">
        <v>406</v>
      </c>
    </row>
    <row r="45" spans="1:22" ht="18" customHeight="1" x14ac:dyDescent="0.2">
      <c r="A45" s="35"/>
      <c r="B45" s="71"/>
      <c r="C45" s="71" t="s">
        <v>59</v>
      </c>
      <c r="D45" s="71"/>
      <c r="E45" s="71"/>
      <c r="F45" s="71"/>
      <c r="G45" s="71"/>
      <c r="H45" s="561"/>
      <c r="I45" s="563"/>
      <c r="J45" s="559"/>
      <c r="K45" s="520">
        <f>SUM(K40:K44)</f>
        <v>430222.25599999999</v>
      </c>
      <c r="M45" s="251"/>
      <c r="P45" s="524"/>
      <c r="Q45" s="525"/>
      <c r="R45" s="92"/>
    </row>
    <row r="46" spans="1:22" ht="18" customHeight="1" thickBot="1" x14ac:dyDescent="0.25">
      <c r="A46" s="389"/>
      <c r="B46" s="390"/>
      <c r="C46" s="390"/>
      <c r="D46" s="390"/>
      <c r="E46" s="390"/>
      <c r="F46" s="390"/>
      <c r="G46" s="390"/>
      <c r="H46" s="654"/>
      <c r="I46" s="564"/>
      <c r="J46" s="560"/>
      <c r="K46" s="531"/>
      <c r="O46" s="92"/>
      <c r="P46" s="92"/>
      <c r="Q46" s="92"/>
      <c r="R46" s="526"/>
    </row>
    <row r="47" spans="1:22" ht="18" customHeight="1" thickBot="1" x14ac:dyDescent="0.25">
      <c r="A47" s="391" t="s">
        <v>60</v>
      </c>
      <c r="B47" s="392">
        <f>AVERAGE(B40:B43)</f>
        <v>11</v>
      </c>
      <c r="C47" s="565"/>
      <c r="D47" s="567"/>
      <c r="E47" s="565"/>
      <c r="F47" s="565"/>
      <c r="G47" s="565"/>
      <c r="H47" s="655">
        <f>AVERAGE(H40:H40)</f>
        <v>2.16</v>
      </c>
      <c r="I47" s="566">
        <f>AVERAGE(I40:I41)</f>
        <v>2.4500000000000006</v>
      </c>
      <c r="J47" s="566">
        <f>SUM(J40:J46)</f>
        <v>600</v>
      </c>
      <c r="K47" s="535">
        <f>K37+K45</f>
        <v>2770922.5745000001</v>
      </c>
      <c r="L47" s="451" t="s">
        <v>405</v>
      </c>
      <c r="M47" s="406"/>
      <c r="R47" s="92"/>
      <c r="S47" s="92"/>
      <c r="T47" s="92"/>
      <c r="U47" s="92"/>
    </row>
    <row r="48" spans="1:22" ht="18" customHeight="1" x14ac:dyDescent="0.2">
      <c r="S48" s="527"/>
      <c r="T48" s="526"/>
      <c r="U48" s="528"/>
      <c r="V48" s="529"/>
    </row>
    <row r="49" spans="1:21" ht="15.75" customHeight="1" thickBot="1" x14ac:dyDescent="0.3">
      <c r="A49" s="59" t="s">
        <v>61</v>
      </c>
      <c r="N49" s="406"/>
      <c r="O49" s="406"/>
      <c r="S49" s="92"/>
      <c r="T49" s="92"/>
      <c r="U49" s="92"/>
    </row>
    <row r="50" spans="1:21" ht="17.25" customHeight="1" x14ac:dyDescent="0.2">
      <c r="A50" s="429" t="s">
        <v>62</v>
      </c>
      <c r="B50" s="430"/>
      <c r="C50" s="430"/>
      <c r="D50" s="430"/>
      <c r="E50" s="430"/>
      <c r="F50" s="430"/>
      <c r="G50" s="431">
        <f>'641 BENEFITS'!H4</f>
        <v>211975.57694925001</v>
      </c>
      <c r="H50" s="375" t="s">
        <v>440</v>
      </c>
    </row>
    <row r="51" spans="1:21" x14ac:dyDescent="0.2">
      <c r="A51" s="432" t="s">
        <v>362</v>
      </c>
      <c r="B51" s="382"/>
      <c r="C51" s="382"/>
      <c r="D51" s="382"/>
      <c r="E51" s="382"/>
      <c r="F51" s="382"/>
      <c r="G51" s="497">
        <f>'641 BENEFITS'!H5</f>
        <v>5251</v>
      </c>
    </row>
    <row r="52" spans="1:21" ht="13.5" x14ac:dyDescent="0.25">
      <c r="A52" s="432" t="s">
        <v>420</v>
      </c>
      <c r="B52" s="382"/>
      <c r="C52" s="382"/>
      <c r="D52" s="382"/>
      <c r="E52" s="382"/>
      <c r="F52" s="382"/>
      <c r="G52" s="497">
        <f>'641 BENEFITS'!H6+'641 BENEFITS'!H8</f>
        <v>394000</v>
      </c>
    </row>
    <row r="53" spans="1:21" x14ac:dyDescent="0.2">
      <c r="A53" s="432" t="s">
        <v>439</v>
      </c>
      <c r="B53" s="382"/>
      <c r="C53" s="382"/>
      <c r="D53" s="382"/>
      <c r="E53" s="382"/>
      <c r="F53" s="382"/>
      <c r="G53" s="497">
        <f>'641 BENEFITS'!H10+'641 BENEFITS'!H11+'641 BENEFITS'!H12</f>
        <v>17000</v>
      </c>
    </row>
    <row r="54" spans="1:21" ht="13.5" x14ac:dyDescent="0.25">
      <c r="A54" s="433" t="s">
        <v>359</v>
      </c>
      <c r="B54" s="427"/>
      <c r="C54" s="427"/>
      <c r="D54" s="427"/>
      <c r="E54" s="427"/>
      <c r="F54" s="427"/>
      <c r="G54" s="500">
        <f>'641 BENEFITS'!H9</f>
        <v>14400</v>
      </c>
      <c r="I54" s="536">
        <v>3.23</v>
      </c>
      <c r="J54" s="542">
        <v>0.88</v>
      </c>
      <c r="K54" s="538">
        <v>0.8</v>
      </c>
      <c r="L54" s="474">
        <v>2013</v>
      </c>
      <c r="M54" s="407" t="s">
        <v>408</v>
      </c>
      <c r="N54" s="408">
        <v>2012</v>
      </c>
      <c r="O54" s="412" t="s">
        <v>364</v>
      </c>
      <c r="P54" s="413">
        <v>2011</v>
      </c>
      <c r="Q54" s="407" t="s">
        <v>340</v>
      </c>
      <c r="R54" s="418"/>
    </row>
    <row r="55" spans="1:21" ht="13.5" x14ac:dyDescent="0.25">
      <c r="A55" s="434" t="s">
        <v>343</v>
      </c>
      <c r="B55" s="379"/>
      <c r="C55" s="379"/>
      <c r="D55" s="379"/>
      <c r="E55" s="555"/>
      <c r="F55" s="1039" t="s">
        <v>437</v>
      </c>
      <c r="G55" s="501">
        <f>K37/100*3.23*0.88*0.8</f>
        <v>53225.652682435204</v>
      </c>
      <c r="I55" s="35">
        <v>0.44</v>
      </c>
      <c r="J55" s="71">
        <v>0.88</v>
      </c>
      <c r="K55" s="539">
        <v>0.8</v>
      </c>
      <c r="L55" s="475">
        <v>2013</v>
      </c>
      <c r="M55" s="409" t="s">
        <v>409</v>
      </c>
      <c r="N55" s="410">
        <v>2012</v>
      </c>
      <c r="O55" s="414" t="s">
        <v>365</v>
      </c>
      <c r="P55" s="415">
        <v>2011</v>
      </c>
      <c r="Q55" s="409" t="s">
        <v>341</v>
      </c>
      <c r="R55" s="419"/>
    </row>
    <row r="56" spans="1:21" ht="13.5" x14ac:dyDescent="0.25">
      <c r="A56" s="432" t="s">
        <v>402</v>
      </c>
      <c r="B56" s="382"/>
      <c r="C56" s="382"/>
      <c r="D56" s="382"/>
      <c r="E56" s="487"/>
      <c r="F56" s="1040"/>
      <c r="G56" s="497">
        <f>(K45-K44)/100*0.44*0.88*0.8</f>
        <v>976.43246018560012</v>
      </c>
      <c r="I56" s="35">
        <v>5.68</v>
      </c>
      <c r="J56" s="71">
        <v>0.88</v>
      </c>
      <c r="K56" s="540">
        <v>0.8</v>
      </c>
      <c r="L56" s="475">
        <v>2013</v>
      </c>
      <c r="M56" s="409" t="s">
        <v>410</v>
      </c>
      <c r="N56" s="410">
        <v>2012</v>
      </c>
      <c r="O56" s="416" t="s">
        <v>366</v>
      </c>
      <c r="P56" s="417">
        <v>2011</v>
      </c>
      <c r="Q56" s="420" t="s">
        <v>342</v>
      </c>
      <c r="R56" s="421"/>
    </row>
    <row r="57" spans="1:21" ht="13.5" x14ac:dyDescent="0.25">
      <c r="A57" s="432" t="s">
        <v>344</v>
      </c>
      <c r="B57" s="382"/>
      <c r="C57" s="382"/>
      <c r="D57" s="382"/>
      <c r="E57" s="487"/>
      <c r="F57" s="1040"/>
      <c r="G57" s="587">
        <v>443.52</v>
      </c>
      <c r="I57" s="35">
        <v>0.43</v>
      </c>
      <c r="J57" s="543">
        <v>0.88</v>
      </c>
      <c r="K57" s="539">
        <v>0.8</v>
      </c>
      <c r="L57" s="475">
        <v>2013</v>
      </c>
      <c r="M57" s="422" t="s">
        <v>411</v>
      </c>
      <c r="N57" s="410">
        <v>2012</v>
      </c>
      <c r="O57" s="92"/>
    </row>
    <row r="58" spans="1:21" ht="13.5" x14ac:dyDescent="0.25">
      <c r="A58" s="433" t="s">
        <v>403</v>
      </c>
      <c r="B58" s="427"/>
      <c r="C58" s="427"/>
      <c r="D58" s="427"/>
      <c r="E58" s="556"/>
      <c r="F58" s="1040"/>
      <c r="G58" s="500">
        <f>K44/100*0.43*0.88*0.8</f>
        <v>348.12800000000004</v>
      </c>
      <c r="I58" s="537">
        <v>0.39</v>
      </c>
      <c r="J58" s="544">
        <v>0.88</v>
      </c>
      <c r="K58" s="541">
        <v>0.8</v>
      </c>
      <c r="L58" s="476">
        <v>2013</v>
      </c>
      <c r="M58" s="134" t="s">
        <v>412</v>
      </c>
      <c r="N58" s="411">
        <v>2012</v>
      </c>
      <c r="O58" s="92"/>
    </row>
    <row r="59" spans="1:21" ht="14.25" thickBot="1" x14ac:dyDescent="0.3">
      <c r="A59" s="433" t="s">
        <v>407</v>
      </c>
      <c r="B59" s="427"/>
      <c r="C59" s="427"/>
      <c r="D59" s="427"/>
      <c r="E59" s="556"/>
      <c r="F59" s="1041"/>
      <c r="G59" s="557">
        <f>3000/100*0.39*0.88*0.8</f>
        <v>8.2368000000000006</v>
      </c>
      <c r="K59" s="394" t="s">
        <v>436</v>
      </c>
      <c r="L59" s="393"/>
      <c r="M59" s="376"/>
      <c r="N59" s="92"/>
    </row>
    <row r="60" spans="1:21" x14ac:dyDescent="0.2">
      <c r="A60" s="490" t="s">
        <v>381</v>
      </c>
      <c r="B60" s="426"/>
      <c r="C60" s="426"/>
      <c r="D60" s="426"/>
      <c r="E60" s="426"/>
      <c r="F60" s="517"/>
      <c r="G60" s="588"/>
    </row>
    <row r="61" spans="1:21" ht="15.75" x14ac:dyDescent="0.25">
      <c r="A61" s="491" t="s">
        <v>345</v>
      </c>
      <c r="B61" s="385"/>
      <c r="C61" s="385"/>
      <c r="D61" s="385"/>
      <c r="E61" s="385"/>
      <c r="F61" s="385"/>
      <c r="G61" s="502">
        <f>'641 BENEFITS'!H19</f>
        <v>20000</v>
      </c>
      <c r="H61" s="656"/>
      <c r="J61" s="488" t="s">
        <v>447</v>
      </c>
      <c r="K61" s="488"/>
      <c r="L61" s="488"/>
      <c r="M61" s="488"/>
      <c r="N61" s="488"/>
      <c r="O61" s="375"/>
    </row>
    <row r="62" spans="1:21" x14ac:dyDescent="0.2">
      <c r="A62" s="432" t="s">
        <v>363</v>
      </c>
      <c r="B62" s="382"/>
      <c r="C62" s="382"/>
      <c r="D62" s="382"/>
      <c r="E62" s="382"/>
      <c r="F62" s="382"/>
      <c r="G62" s="497">
        <f>'641 BENEFITS'!H20+'641 BENEFITS'!H21+'641 BENEFITS'!H22</f>
        <v>11172</v>
      </c>
    </row>
    <row r="63" spans="1:21" x14ac:dyDescent="0.2">
      <c r="A63" s="432" t="s">
        <v>70</v>
      </c>
      <c r="B63" s="382"/>
      <c r="C63" s="382"/>
      <c r="D63" s="382"/>
      <c r="E63" s="382"/>
      <c r="F63" s="382"/>
      <c r="G63" s="497">
        <f>'641 BENEFITS'!H23</f>
        <v>2000</v>
      </c>
      <c r="Q63" s="325"/>
    </row>
    <row r="64" spans="1:21" ht="13.5" thickBot="1" x14ac:dyDescent="0.25">
      <c r="A64" s="435" t="s">
        <v>687</v>
      </c>
      <c r="B64" s="436"/>
      <c r="C64" s="436"/>
      <c r="D64" s="436"/>
      <c r="E64" s="436"/>
      <c r="F64" s="436"/>
      <c r="G64" s="437">
        <f>(K47-K36-K42-K44)*0.14</f>
        <v>368190.04243000003</v>
      </c>
    </row>
    <row r="65" spans="1:11" ht="14.25" thickTop="1" thickBot="1" x14ac:dyDescent="0.25">
      <c r="A65" s="395" t="s">
        <v>71</v>
      </c>
      <c r="B65" s="396"/>
      <c r="C65" s="396"/>
      <c r="D65" s="396"/>
      <c r="E65" s="396"/>
      <c r="F65" s="396"/>
      <c r="G65" s="425">
        <f>SUM(G50:G64)</f>
        <v>1098990.5893218708</v>
      </c>
      <c r="K65" s="251"/>
    </row>
    <row r="66" spans="1:11" ht="15" thickTop="1" thickBot="1" x14ac:dyDescent="0.3">
      <c r="A66" s="397" t="s">
        <v>72</v>
      </c>
      <c r="B66" s="398"/>
      <c r="C66" s="398"/>
      <c r="D66" s="398"/>
      <c r="E66" s="398"/>
      <c r="F66" s="398"/>
      <c r="G66" s="489">
        <f>K47+G65</f>
        <v>3869913.1638218709</v>
      </c>
    </row>
    <row r="68" spans="1:11" x14ac:dyDescent="0.2">
      <c r="E68" s="399"/>
    </row>
    <row r="69" spans="1:11" x14ac:dyDescent="0.2">
      <c r="G69" s="251"/>
    </row>
  </sheetData>
  <sortState ref="A23:M27">
    <sortCondition descending="1" ref="B23:B27"/>
  </sortState>
  <mergeCells count="2">
    <mergeCell ref="F55:F59"/>
    <mergeCell ref="P6:R6"/>
  </mergeCells>
  <pageMargins left="0.7" right="0.7" top="0.75" bottom="0.75" header="0.3" footer="0.3"/>
  <pageSetup scale="63" fitToHeight="2" orientation="landscape" r:id="rId1"/>
  <headerFooter>
    <oddHeader xml:space="preserve">&amp;C&amp;"Arial,Bold"&amp;12PAYROLL - 642&amp;"Arial,Regular"&amp;10
</oddHeader>
    <oddFooter>&amp;L&amp;Z&amp;F, &amp;A&amp;R&amp;D</oddFooter>
  </headerFooter>
  <rowBreaks count="2" manualBreakCount="2">
    <brk id="38" max="16383" man="1"/>
    <brk id="49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39"/>
  <sheetViews>
    <sheetView workbookViewId="0">
      <pane ySplit="1" topLeftCell="A2" activePane="bottomLeft" state="frozen"/>
      <selection pane="bottomLeft" activeCell="J1" sqref="J1:J38"/>
    </sheetView>
  </sheetViews>
  <sheetFormatPr defaultRowHeight="12.75" x14ac:dyDescent="0.2"/>
  <cols>
    <col min="1" max="1" width="15.28515625" style="24" customWidth="1"/>
    <col min="2" max="2" width="10.85546875" style="24" customWidth="1"/>
    <col min="3" max="3" width="9.28515625" style="24" customWidth="1"/>
    <col min="4" max="4" width="9.5703125" style="24" customWidth="1"/>
    <col min="5" max="5" width="11" style="24" customWidth="1"/>
    <col min="6" max="6" width="9.42578125" style="24" customWidth="1"/>
    <col min="7" max="7" width="10.28515625" style="24" customWidth="1"/>
    <col min="8" max="8" width="10.5703125" style="24" customWidth="1"/>
    <col min="9" max="9" width="11.140625" style="24" customWidth="1"/>
    <col min="10" max="10" width="11.28515625" style="24" bestFit="1" customWidth="1"/>
    <col min="11" max="11" width="9.140625" style="24"/>
    <col min="12" max="12" width="10.7109375" style="24" bestFit="1" customWidth="1"/>
    <col min="13" max="13" width="11.28515625" style="24" bestFit="1" customWidth="1"/>
    <col min="14" max="16384" width="9.140625" style="24"/>
  </cols>
  <sheetData>
    <row r="1" spans="1:12" s="252" customFormat="1" ht="21" customHeight="1" x14ac:dyDescent="0.2">
      <c r="A1" s="334"/>
      <c r="B1" s="335" t="s">
        <v>238</v>
      </c>
      <c r="C1" s="336" t="s">
        <v>235</v>
      </c>
      <c r="D1" s="336" t="s">
        <v>361</v>
      </c>
      <c r="E1" s="336" t="s">
        <v>239</v>
      </c>
      <c r="F1" s="336" t="s">
        <v>240</v>
      </c>
      <c r="G1" s="336" t="s">
        <v>237</v>
      </c>
      <c r="H1" s="336" t="s">
        <v>389</v>
      </c>
      <c r="I1" s="138" t="s">
        <v>138</v>
      </c>
      <c r="J1" s="1046" t="s">
        <v>446</v>
      </c>
    </row>
    <row r="2" spans="1:12" s="252" customFormat="1" ht="21" customHeight="1" x14ac:dyDescent="0.2">
      <c r="A2" s="337" t="s">
        <v>241</v>
      </c>
      <c r="B2" s="338">
        <v>61865</v>
      </c>
      <c r="C2" s="338">
        <f>B2*0.0765</f>
        <v>4732.6724999999997</v>
      </c>
      <c r="D2" s="338">
        <v>119.9</v>
      </c>
      <c r="E2" s="339">
        <f>B2/100*3.33*1.36*0.85</f>
        <v>2381.480802</v>
      </c>
      <c r="F2" s="338">
        <v>1455.67</v>
      </c>
      <c r="G2" s="338">
        <v>8960.0400000000009</v>
      </c>
      <c r="H2" s="338">
        <f>B2*0.095</f>
        <v>5877.1750000000002</v>
      </c>
      <c r="I2" s="141">
        <f>SUM(B2:H2)</f>
        <v>85391.93830200001</v>
      </c>
      <c r="J2" s="1046"/>
    </row>
    <row r="3" spans="1:12" ht="18" customHeight="1" x14ac:dyDescent="0.2">
      <c r="A3" s="340" t="s">
        <v>241</v>
      </c>
      <c r="B3" s="339">
        <v>61268</v>
      </c>
      <c r="C3" s="339">
        <f>B3*0.0765</f>
        <v>4687.0019999999995</v>
      </c>
      <c r="D3" s="339">
        <v>119.9</v>
      </c>
      <c r="E3" s="339">
        <f t="shared" ref="E3:E20" si="0">B3/100*3.33*1.36*0.85</f>
        <v>2358.4994063999998</v>
      </c>
      <c r="F3" s="339">
        <v>1455.67</v>
      </c>
      <c r="G3" s="339">
        <v>8960.0400000000009</v>
      </c>
      <c r="H3" s="339">
        <f t="shared" ref="H3:H25" si="1">B3*0.095</f>
        <v>5820.46</v>
      </c>
      <c r="I3" s="139">
        <f t="shared" ref="I3:I8" si="2">SUM(B3:H3)</f>
        <v>84669.571406399991</v>
      </c>
      <c r="J3" s="1046"/>
    </row>
    <row r="4" spans="1:12" ht="18" customHeight="1" x14ac:dyDescent="0.2">
      <c r="A4" s="348" t="s">
        <v>241</v>
      </c>
      <c r="B4" s="349">
        <v>61269</v>
      </c>
      <c r="C4" s="349">
        <f>B4*0.0765</f>
        <v>4687.0784999999996</v>
      </c>
      <c r="D4" s="349">
        <v>119.9</v>
      </c>
      <c r="E4" s="349">
        <f t="shared" si="0"/>
        <v>2358.5379012000003</v>
      </c>
      <c r="F4" s="349">
        <v>1455.67</v>
      </c>
      <c r="G4" s="349">
        <v>8960.0400000000009</v>
      </c>
      <c r="H4" s="349">
        <f t="shared" si="1"/>
        <v>5820.5550000000003</v>
      </c>
      <c r="I4" s="332">
        <f>SUM(B4:H4)</f>
        <v>84670.781401199987</v>
      </c>
      <c r="J4" s="1046"/>
    </row>
    <row r="5" spans="1:12" ht="18" customHeight="1" x14ac:dyDescent="0.2">
      <c r="A5" s="354" t="s">
        <v>242</v>
      </c>
      <c r="B5" s="338">
        <v>52203</v>
      </c>
      <c r="C5" s="338">
        <f>B5*0.0765</f>
        <v>3993.5295000000001</v>
      </c>
      <c r="D5" s="338">
        <v>119.9</v>
      </c>
      <c r="E5" s="338">
        <f>B5/100*3.33*1.36*0.85</f>
        <v>2009.5440444000001</v>
      </c>
      <c r="F5" s="338">
        <v>1455.67</v>
      </c>
      <c r="G5" s="338">
        <v>4777.76</v>
      </c>
      <c r="H5" s="338">
        <f>B5*0.095</f>
        <v>4959.2849999999999</v>
      </c>
      <c r="I5" s="369">
        <f>SUM(B5:H5)</f>
        <v>69518.688544399993</v>
      </c>
      <c r="J5" s="1046"/>
    </row>
    <row r="6" spans="1:12" ht="18" customHeight="1" x14ac:dyDescent="0.2">
      <c r="A6" s="355" t="s">
        <v>242</v>
      </c>
      <c r="B6" s="339">
        <v>52504.3</v>
      </c>
      <c r="C6" s="339">
        <f t="shared" ref="C6:C35" si="3">B6*0.0765</f>
        <v>4016.5789500000001</v>
      </c>
      <c r="D6" s="339">
        <v>119.9</v>
      </c>
      <c r="E6" s="339">
        <f t="shared" si="0"/>
        <v>2021.1425276400003</v>
      </c>
      <c r="F6" s="339">
        <v>1455.67</v>
      </c>
      <c r="G6" s="339">
        <v>8960.0400000000009</v>
      </c>
      <c r="H6" s="339">
        <f t="shared" si="1"/>
        <v>4987.9085000000005</v>
      </c>
      <c r="I6" s="139">
        <f t="shared" si="2"/>
        <v>74065.539977640015</v>
      </c>
      <c r="J6" s="1046"/>
    </row>
    <row r="7" spans="1:12" ht="18" customHeight="1" x14ac:dyDescent="0.2">
      <c r="A7" s="356" t="s">
        <v>242</v>
      </c>
      <c r="B7" s="342">
        <v>51304.3</v>
      </c>
      <c r="C7" s="342">
        <f>B7*0.0765</f>
        <v>3924.7789500000003</v>
      </c>
      <c r="D7" s="342">
        <v>119.9</v>
      </c>
      <c r="E7" s="342">
        <f>B7/100*3.33*1.36*0.85</f>
        <v>1974.9487676400001</v>
      </c>
      <c r="F7" s="342">
        <v>1455.67</v>
      </c>
      <c r="G7" s="342">
        <v>4777.76</v>
      </c>
      <c r="H7" s="342">
        <f>B7*0.095</f>
        <v>4873.9085000000005</v>
      </c>
      <c r="I7" s="367">
        <f>SUM(B7:H7)</f>
        <v>68431.266217640004</v>
      </c>
      <c r="J7" s="1046"/>
      <c r="L7" s="251"/>
    </row>
    <row r="8" spans="1:12" s="92" customFormat="1" ht="18" customHeight="1" x14ac:dyDescent="0.2">
      <c r="A8" s="365" t="s">
        <v>393</v>
      </c>
      <c r="B8" s="361">
        <v>55456.37</v>
      </c>
      <c r="C8" s="361">
        <f t="shared" si="3"/>
        <v>4242.4123049999998</v>
      </c>
      <c r="D8" s="361">
        <v>119.9</v>
      </c>
      <c r="E8" s="364">
        <f t="shared" si="0"/>
        <v>2134.7818718760004</v>
      </c>
      <c r="F8" s="358">
        <v>1455.67</v>
      </c>
      <c r="G8" s="361">
        <v>4777.76</v>
      </c>
      <c r="H8" s="358">
        <f t="shared" si="1"/>
        <v>5268.3551500000003</v>
      </c>
      <c r="I8" s="368">
        <f t="shared" si="2"/>
        <v>73455.249326876001</v>
      </c>
      <c r="J8" s="1046"/>
    </row>
    <row r="9" spans="1:12" ht="18" customHeight="1" x14ac:dyDescent="0.2">
      <c r="A9" s="354" t="s">
        <v>243</v>
      </c>
      <c r="B9" s="338">
        <v>48731.7</v>
      </c>
      <c r="C9" s="338">
        <f>B9*0.0765</f>
        <v>3727.9750499999996</v>
      </c>
      <c r="D9" s="338">
        <v>119.9</v>
      </c>
      <c r="E9" s="338">
        <f>B9/100*3.33*1.36*0.85</f>
        <v>1875.91704516</v>
      </c>
      <c r="F9" s="338">
        <v>1455.67</v>
      </c>
      <c r="G9" s="338">
        <v>4776.76</v>
      </c>
      <c r="H9" s="338">
        <f>B9*0.095</f>
        <v>4629.5114999999996</v>
      </c>
      <c r="I9" s="369">
        <f>SUM(B9:H9)</f>
        <v>65317.433595160001</v>
      </c>
      <c r="J9" s="1046"/>
    </row>
    <row r="10" spans="1:12" ht="18" customHeight="1" x14ac:dyDescent="0.2">
      <c r="A10" s="355" t="s">
        <v>243</v>
      </c>
      <c r="B10" s="339">
        <v>49693.7</v>
      </c>
      <c r="C10" s="339">
        <f t="shared" ref="C10:C17" si="4">B10*0.0765</f>
        <v>3801.5680499999999</v>
      </c>
      <c r="D10" s="339">
        <v>119.9</v>
      </c>
      <c r="E10" s="339">
        <f t="shared" si="0"/>
        <v>1912.9490427599999</v>
      </c>
      <c r="F10" s="339">
        <v>1455.67</v>
      </c>
      <c r="G10" s="339">
        <v>4777.76</v>
      </c>
      <c r="H10" s="339">
        <f t="shared" si="1"/>
        <v>4720.9014999999999</v>
      </c>
      <c r="I10" s="370">
        <f t="shared" ref="I10:I27" si="5">SUM(B10:H10)</f>
        <v>66482.448592760004</v>
      </c>
      <c r="J10" s="1046"/>
    </row>
    <row r="11" spans="1:12" ht="18" customHeight="1" x14ac:dyDescent="0.2">
      <c r="A11" s="355" t="s">
        <v>243</v>
      </c>
      <c r="B11" s="339">
        <v>49093.7</v>
      </c>
      <c r="C11" s="339">
        <f>B11*0.0765</f>
        <v>3755.6680499999998</v>
      </c>
      <c r="D11" s="339">
        <v>119.9</v>
      </c>
      <c r="E11" s="339">
        <f>B11/100*3.33*1.36*0.85</f>
        <v>1889.8521627600001</v>
      </c>
      <c r="F11" s="339">
        <v>1455.67</v>
      </c>
      <c r="G11" s="339">
        <v>8960.0400000000009</v>
      </c>
      <c r="H11" s="339">
        <f>B11*0.095</f>
        <v>4663.9014999999999</v>
      </c>
      <c r="I11" s="139">
        <f>SUM(B11:H11)</f>
        <v>69938.731712759996</v>
      </c>
      <c r="J11" s="1046"/>
    </row>
    <row r="12" spans="1:12" ht="18" customHeight="1" x14ac:dyDescent="0.2">
      <c r="A12" s="355" t="s">
        <v>243</v>
      </c>
      <c r="B12" s="339">
        <v>48135.7</v>
      </c>
      <c r="C12" s="339">
        <f t="shared" si="4"/>
        <v>3682.3810499999995</v>
      </c>
      <c r="D12" s="339">
        <v>119.9</v>
      </c>
      <c r="E12" s="339">
        <f t="shared" si="0"/>
        <v>1852.9741443599999</v>
      </c>
      <c r="F12" s="339">
        <v>1455.67</v>
      </c>
      <c r="G12" s="339">
        <v>4777.76</v>
      </c>
      <c r="H12" s="339">
        <f t="shared" si="1"/>
        <v>4572.8914999999997</v>
      </c>
      <c r="I12" s="370">
        <f t="shared" si="5"/>
        <v>64597.276694359993</v>
      </c>
      <c r="J12" s="1046"/>
    </row>
    <row r="13" spans="1:12" ht="18" customHeight="1" x14ac:dyDescent="0.2">
      <c r="A13" s="355" t="s">
        <v>243</v>
      </c>
      <c r="B13" s="339">
        <v>46636.7</v>
      </c>
      <c r="C13" s="339">
        <f>B13*0.0765</f>
        <v>3567.7075499999996</v>
      </c>
      <c r="D13" s="339">
        <v>119.9</v>
      </c>
      <c r="E13" s="339">
        <f>B13/100*3.33*1.36*0.85</f>
        <v>1795.2704391599998</v>
      </c>
      <c r="F13" s="339">
        <v>1455.67</v>
      </c>
      <c r="G13" s="339">
        <v>7301.36</v>
      </c>
      <c r="H13" s="339">
        <f>B13*0.095</f>
        <v>4430.4865</v>
      </c>
      <c r="I13" s="370">
        <f>SUM(B13:H13)</f>
        <v>65307.094489159994</v>
      </c>
      <c r="J13" s="1046"/>
    </row>
    <row r="14" spans="1:12" ht="18" customHeight="1" x14ac:dyDescent="0.2">
      <c r="A14" s="356" t="s">
        <v>243</v>
      </c>
      <c r="B14" s="342">
        <v>49636.7</v>
      </c>
      <c r="C14" s="342">
        <f>B14*0.0765</f>
        <v>3797.2075499999996</v>
      </c>
      <c r="D14" s="342">
        <v>119.9</v>
      </c>
      <c r="E14" s="342">
        <f>B14/100*3.33*1.36*0.85</f>
        <v>1910.7548391600003</v>
      </c>
      <c r="F14" s="342">
        <v>1455.67</v>
      </c>
      <c r="G14" s="342">
        <v>4777.76</v>
      </c>
      <c r="H14" s="342">
        <f>B14*0.095</f>
        <v>4715.4865</v>
      </c>
      <c r="I14" s="367">
        <f>SUM(B14:H14)</f>
        <v>66413.478889160004</v>
      </c>
      <c r="J14" s="1046"/>
    </row>
    <row r="15" spans="1:12" ht="18" customHeight="1" x14ac:dyDescent="0.2">
      <c r="A15" s="354" t="s">
        <v>244</v>
      </c>
      <c r="B15" s="338">
        <v>42269.3</v>
      </c>
      <c r="C15" s="338">
        <f>B15*0.0765</f>
        <v>3233.6014500000001</v>
      </c>
      <c r="D15" s="338">
        <v>119.9</v>
      </c>
      <c r="E15" s="338">
        <f>B15/100*3.33*1.36*0.85</f>
        <v>1627.1482496400001</v>
      </c>
      <c r="F15" s="338">
        <v>1455.67</v>
      </c>
      <c r="G15" s="338">
        <v>8960.0400000000009</v>
      </c>
      <c r="H15" s="338">
        <f>B15*0.095</f>
        <v>4015.5835000000002</v>
      </c>
      <c r="I15" s="369">
        <f>SUM(B15:H15)</f>
        <v>61681.243199640005</v>
      </c>
      <c r="J15" s="1046"/>
    </row>
    <row r="16" spans="1:12" ht="18" customHeight="1" x14ac:dyDescent="0.2">
      <c r="A16" s="340" t="s">
        <v>244</v>
      </c>
      <c r="B16" s="339">
        <v>42631.3</v>
      </c>
      <c r="C16" s="339">
        <f t="shared" si="4"/>
        <v>3261.2944500000003</v>
      </c>
      <c r="D16" s="339">
        <v>119.9</v>
      </c>
      <c r="E16" s="339">
        <f t="shared" si="0"/>
        <v>1641.0833672400004</v>
      </c>
      <c r="F16" s="339">
        <v>1455.67</v>
      </c>
      <c r="G16" s="339">
        <v>4777.76</v>
      </c>
      <c r="H16" s="339">
        <f t="shared" si="1"/>
        <v>4049.9735000000005</v>
      </c>
      <c r="I16" s="139">
        <f t="shared" si="5"/>
        <v>57936.981317240003</v>
      </c>
      <c r="J16" s="1046"/>
    </row>
    <row r="17" spans="1:13" ht="18" customHeight="1" x14ac:dyDescent="0.2">
      <c r="A17" s="340" t="s">
        <v>244</v>
      </c>
      <c r="B17" s="339">
        <v>43831.3</v>
      </c>
      <c r="C17" s="339">
        <f t="shared" si="4"/>
        <v>3353.0944500000001</v>
      </c>
      <c r="D17" s="339">
        <v>119.9</v>
      </c>
      <c r="E17" s="339">
        <f t="shared" si="0"/>
        <v>1687.2771272400003</v>
      </c>
      <c r="F17" s="339">
        <v>1455.67</v>
      </c>
      <c r="G17" s="339">
        <v>8960.0400000000009</v>
      </c>
      <c r="H17" s="339">
        <f t="shared" si="1"/>
        <v>4163.9735000000001</v>
      </c>
      <c r="I17" s="139">
        <f t="shared" si="5"/>
        <v>63571.255077239999</v>
      </c>
      <c r="J17" s="1046"/>
    </row>
    <row r="18" spans="1:13" ht="18" customHeight="1" x14ac:dyDescent="0.2">
      <c r="A18" s="340" t="s">
        <v>244</v>
      </c>
      <c r="B18" s="339">
        <v>42631.3</v>
      </c>
      <c r="C18" s="339">
        <f t="shared" ref="C18:C20" si="6">B18*0.0765</f>
        <v>3261.2944500000003</v>
      </c>
      <c r="D18" s="339">
        <v>119.9</v>
      </c>
      <c r="E18" s="339">
        <f t="shared" si="0"/>
        <v>1641.0833672400004</v>
      </c>
      <c r="F18" s="339">
        <v>1455.67</v>
      </c>
      <c r="G18" s="339">
        <v>6983.72</v>
      </c>
      <c r="H18" s="339">
        <f t="shared" si="1"/>
        <v>4049.9735000000005</v>
      </c>
      <c r="I18" s="139">
        <f t="shared" ref="I18:I20" si="7">SUM(B18:H18)</f>
        <v>60142.941317240002</v>
      </c>
      <c r="J18" s="1046"/>
    </row>
    <row r="19" spans="1:13" ht="18" customHeight="1" x14ac:dyDescent="0.2">
      <c r="A19" s="340" t="s">
        <v>244</v>
      </c>
      <c r="B19" s="339">
        <v>42631.3</v>
      </c>
      <c r="C19" s="339">
        <f t="shared" si="6"/>
        <v>3261.2944500000003</v>
      </c>
      <c r="D19" s="339">
        <v>119.9</v>
      </c>
      <c r="E19" s="339">
        <f t="shared" si="0"/>
        <v>1641.0833672400004</v>
      </c>
      <c r="F19" s="339">
        <v>1455.67</v>
      </c>
      <c r="G19" s="339">
        <v>8960.0400000000009</v>
      </c>
      <c r="H19" s="339">
        <f t="shared" si="1"/>
        <v>4049.9735000000005</v>
      </c>
      <c r="I19" s="139">
        <f t="shared" si="7"/>
        <v>62119.261317240002</v>
      </c>
      <c r="J19" s="1046"/>
    </row>
    <row r="20" spans="1:13" ht="18" customHeight="1" x14ac:dyDescent="0.2">
      <c r="A20" s="340" t="s">
        <v>244</v>
      </c>
      <c r="B20" s="339">
        <v>41671.300000000003</v>
      </c>
      <c r="C20" s="339">
        <f t="shared" si="6"/>
        <v>3187.8544500000003</v>
      </c>
      <c r="D20" s="339">
        <v>119.9</v>
      </c>
      <c r="E20" s="339">
        <f t="shared" si="0"/>
        <v>1604.1283592400002</v>
      </c>
      <c r="F20" s="339">
        <v>1455.67</v>
      </c>
      <c r="G20" s="339">
        <v>4777.76</v>
      </c>
      <c r="H20" s="339">
        <f t="shared" si="1"/>
        <v>3958.7735000000002</v>
      </c>
      <c r="I20" s="139">
        <f t="shared" si="7"/>
        <v>56775.386309240006</v>
      </c>
      <c r="J20" s="1046"/>
    </row>
    <row r="21" spans="1:13" ht="18" customHeight="1" x14ac:dyDescent="0.2">
      <c r="A21" s="340" t="s">
        <v>394</v>
      </c>
      <c r="B21" s="339">
        <v>250096.8</v>
      </c>
      <c r="C21" s="339">
        <f t="shared" ref="C21:C22" si="8">B21*0.0765</f>
        <v>19132.405199999997</v>
      </c>
      <c r="D21" s="339">
        <v>720</v>
      </c>
      <c r="E21" s="339">
        <f t="shared" ref="E21:E26" si="9">B21/100*3.33*1.36*0.85</f>
        <v>9627.4262966400001</v>
      </c>
      <c r="F21" s="339">
        <v>8734.02</v>
      </c>
      <c r="G21" s="339">
        <v>31503.8</v>
      </c>
      <c r="H21" s="339">
        <f t="shared" si="1"/>
        <v>23759.196</v>
      </c>
      <c r="I21" s="139">
        <f t="shared" ref="I21:I22" si="10">SUM(B21:H21)</f>
        <v>343573.64749663998</v>
      </c>
      <c r="J21" s="1046"/>
    </row>
    <row r="22" spans="1:13" ht="18" customHeight="1" x14ac:dyDescent="0.2">
      <c r="A22" s="340" t="s">
        <v>395</v>
      </c>
      <c r="B22" s="339">
        <v>80054.179999999993</v>
      </c>
      <c r="C22" s="339">
        <f t="shared" si="8"/>
        <v>6124.144769999999</v>
      </c>
      <c r="D22" s="339">
        <v>240</v>
      </c>
      <c r="E22" s="339">
        <f t="shared" si="9"/>
        <v>3081.669648264</v>
      </c>
      <c r="F22" s="339">
        <v>2911.3420000000001</v>
      </c>
      <c r="G22" s="339">
        <v>9555.52</v>
      </c>
      <c r="H22" s="339">
        <f t="shared" si="1"/>
        <v>7605.1470999999992</v>
      </c>
      <c r="I22" s="139">
        <f t="shared" si="10"/>
        <v>109572.003518264</v>
      </c>
      <c r="J22" s="1046"/>
    </row>
    <row r="23" spans="1:13" ht="18" customHeight="1" x14ac:dyDescent="0.2">
      <c r="A23" s="348" t="s">
        <v>383</v>
      </c>
      <c r="B23" s="349">
        <v>39372.449999999997</v>
      </c>
      <c r="C23" s="349">
        <f>B23*0.0765</f>
        <v>3011.9924249999999</v>
      </c>
      <c r="D23" s="349">
        <v>120</v>
      </c>
      <c r="E23" s="349">
        <f t="shared" si="9"/>
        <v>1515.6345882599999</v>
      </c>
      <c r="F23" s="339">
        <v>1455.67</v>
      </c>
      <c r="G23" s="349">
        <v>4777.76</v>
      </c>
      <c r="H23" s="339">
        <f t="shared" si="1"/>
        <v>3740.3827499999998</v>
      </c>
      <c r="I23" s="332">
        <f>SUM(B23:H23)</f>
        <v>53993.889763259991</v>
      </c>
      <c r="J23" s="1046"/>
      <c r="L23" s="333"/>
    </row>
    <row r="24" spans="1:13" ht="17.25" customHeight="1" x14ac:dyDescent="0.2">
      <c r="A24" s="343" t="s">
        <v>74</v>
      </c>
      <c r="B24" s="338">
        <v>65220</v>
      </c>
      <c r="C24" s="338">
        <f t="shared" si="3"/>
        <v>4989.33</v>
      </c>
      <c r="D24" s="344"/>
      <c r="E24" s="338">
        <f t="shared" si="9"/>
        <v>2510.6308560000002</v>
      </c>
      <c r="F24" s="344"/>
      <c r="G24" s="344"/>
      <c r="H24" s="338">
        <f t="shared" si="1"/>
        <v>6195.9</v>
      </c>
      <c r="I24" s="141">
        <f t="shared" si="5"/>
        <v>78915.860855999999</v>
      </c>
      <c r="J24" s="1046"/>
    </row>
    <row r="25" spans="1:13" ht="18" customHeight="1" x14ac:dyDescent="0.2">
      <c r="A25" s="345" t="s">
        <v>163</v>
      </c>
      <c r="B25" s="339">
        <v>11869</v>
      </c>
      <c r="C25" s="339">
        <f t="shared" si="3"/>
        <v>907.97849999999994</v>
      </c>
      <c r="D25" s="346"/>
      <c r="E25" s="339">
        <f t="shared" si="9"/>
        <v>456.89478120000001</v>
      </c>
      <c r="F25" s="346"/>
      <c r="G25" s="346"/>
      <c r="H25" s="339">
        <f t="shared" si="1"/>
        <v>1127.5550000000001</v>
      </c>
      <c r="I25" s="139">
        <f t="shared" si="5"/>
        <v>14361.4282812</v>
      </c>
      <c r="J25" s="1046"/>
      <c r="L25" s="333"/>
    </row>
    <row r="26" spans="1:13" ht="18" customHeight="1" x14ac:dyDescent="0.2">
      <c r="A26" s="345" t="s">
        <v>390</v>
      </c>
      <c r="B26" s="339">
        <v>16124</v>
      </c>
      <c r="C26" s="339">
        <f t="shared" si="3"/>
        <v>1233.4859999999999</v>
      </c>
      <c r="D26" s="339">
        <v>492</v>
      </c>
      <c r="E26" s="339">
        <f t="shared" si="9"/>
        <v>620.69015520000005</v>
      </c>
      <c r="F26" s="339">
        <v>650.21119999999996</v>
      </c>
      <c r="G26" s="346"/>
      <c r="H26" s="346"/>
      <c r="I26" s="139">
        <f t="shared" si="5"/>
        <v>19120.387355200004</v>
      </c>
      <c r="J26" s="1046"/>
      <c r="M26" s="333"/>
    </row>
    <row r="27" spans="1:13" ht="18" customHeight="1" x14ac:dyDescent="0.2">
      <c r="A27" s="357" t="s">
        <v>388</v>
      </c>
      <c r="B27" s="359"/>
      <c r="C27" s="359"/>
      <c r="D27" s="359"/>
      <c r="E27" s="358">
        <v>965.41</v>
      </c>
      <c r="F27" s="358">
        <v>405.59</v>
      </c>
      <c r="G27" s="359"/>
      <c r="H27" s="366"/>
      <c r="I27" s="139">
        <f t="shared" si="5"/>
        <v>1371</v>
      </c>
      <c r="J27" s="1046"/>
      <c r="M27" s="333"/>
    </row>
    <row r="28" spans="1:13" ht="18" customHeight="1" x14ac:dyDescent="0.2">
      <c r="A28" s="337" t="s">
        <v>245</v>
      </c>
      <c r="B28" s="338">
        <v>86707.199999999997</v>
      </c>
      <c r="C28" s="338">
        <f t="shared" si="3"/>
        <v>6633.1007999999993</v>
      </c>
      <c r="D28" s="338">
        <v>120</v>
      </c>
      <c r="E28" s="338">
        <f t="shared" ref="E28:E34" si="11">B28/100*0.44*1.36*0.85</f>
        <v>441.02750207999998</v>
      </c>
      <c r="F28" s="338">
        <v>1455.671</v>
      </c>
      <c r="G28" s="338">
        <v>8960.0400000000009</v>
      </c>
      <c r="H28" s="338">
        <f t="shared" ref="H28:H31" si="12">B28*0.095</f>
        <v>8237.1839999999993</v>
      </c>
      <c r="I28" s="141">
        <f t="shared" ref="I28:I33" si="13">SUM(B28:H28)</f>
        <v>112554.22330207999</v>
      </c>
      <c r="J28" s="1046"/>
    </row>
    <row r="29" spans="1:13" ht="18" customHeight="1" x14ac:dyDescent="0.2">
      <c r="A29" s="340" t="s">
        <v>326</v>
      </c>
      <c r="B29" s="339">
        <v>69769.600000000006</v>
      </c>
      <c r="C29" s="339">
        <f t="shared" ref="C29" si="14">B29*0.0765</f>
        <v>5337.3744000000006</v>
      </c>
      <c r="D29" s="339">
        <v>120</v>
      </c>
      <c r="E29" s="339">
        <f t="shared" si="11"/>
        <v>354.87609344000003</v>
      </c>
      <c r="F29" s="339">
        <v>1455.671</v>
      </c>
      <c r="G29" s="339">
        <v>8960.0400000000009</v>
      </c>
      <c r="H29" s="339">
        <f t="shared" si="12"/>
        <v>6628.112000000001</v>
      </c>
      <c r="I29" s="139">
        <f t="shared" ref="I29" si="15">SUM(B29:H29)</f>
        <v>92625.673493440001</v>
      </c>
      <c r="J29" s="1046"/>
      <c r="M29" s="333"/>
    </row>
    <row r="30" spans="1:13" ht="18" customHeight="1" x14ac:dyDescent="0.2">
      <c r="A30" s="340" t="s">
        <v>246</v>
      </c>
      <c r="B30" s="339">
        <v>49276</v>
      </c>
      <c r="C30" s="339">
        <f t="shared" si="3"/>
        <v>3769.614</v>
      </c>
      <c r="D30" s="339">
        <v>120</v>
      </c>
      <c r="E30" s="339">
        <f t="shared" si="11"/>
        <v>250.63744640000002</v>
      </c>
      <c r="F30" s="339">
        <v>1118.961</v>
      </c>
      <c r="G30" s="339">
        <v>4777.76</v>
      </c>
      <c r="H30" s="339">
        <f t="shared" si="12"/>
        <v>4681.22</v>
      </c>
      <c r="I30" s="139">
        <f t="shared" si="13"/>
        <v>63994.192446400004</v>
      </c>
      <c r="J30" s="1046"/>
    </row>
    <row r="31" spans="1:13" ht="18" customHeight="1" x14ac:dyDescent="0.2">
      <c r="A31" s="341" t="s">
        <v>236</v>
      </c>
      <c r="B31" s="342">
        <v>37107</v>
      </c>
      <c r="C31" s="342">
        <f t="shared" si="3"/>
        <v>2838.6855</v>
      </c>
      <c r="D31" s="342">
        <v>119.9</v>
      </c>
      <c r="E31" s="342">
        <f t="shared" si="11"/>
        <v>188.7410448</v>
      </c>
      <c r="F31" s="342">
        <v>1455.671</v>
      </c>
      <c r="G31" s="342">
        <v>4777.76</v>
      </c>
      <c r="H31" s="342">
        <f t="shared" si="12"/>
        <v>3525.165</v>
      </c>
      <c r="I31" s="140">
        <f t="shared" si="13"/>
        <v>50012.922544800007</v>
      </c>
      <c r="J31" s="1046"/>
    </row>
    <row r="32" spans="1:13" ht="18" customHeight="1" x14ac:dyDescent="0.2">
      <c r="A32" s="337" t="s">
        <v>386</v>
      </c>
      <c r="B32" s="338">
        <v>7721</v>
      </c>
      <c r="C32" s="338">
        <f t="shared" ref="C32" si="16">B32*0.0765</f>
        <v>590.65649999999994</v>
      </c>
      <c r="D32" s="338">
        <v>60</v>
      </c>
      <c r="E32" s="338">
        <f t="shared" si="11"/>
        <v>39.272094400000007</v>
      </c>
      <c r="F32" s="338">
        <v>650.21119999999996</v>
      </c>
      <c r="G32" s="344"/>
      <c r="H32" s="344"/>
      <c r="I32" s="141">
        <f t="shared" ref="I32" si="17">SUM(B32:H32)</f>
        <v>9061.1397943999982</v>
      </c>
      <c r="J32" s="1046"/>
    </row>
    <row r="33" spans="1:12" ht="18" customHeight="1" x14ac:dyDescent="0.2">
      <c r="A33" s="340" t="s">
        <v>385</v>
      </c>
      <c r="B33" s="339">
        <v>3469</v>
      </c>
      <c r="C33" s="339">
        <f t="shared" si="3"/>
        <v>265.37849999999997</v>
      </c>
      <c r="D33" s="339">
        <v>50</v>
      </c>
      <c r="E33" s="339">
        <f t="shared" si="11"/>
        <v>17.6447216</v>
      </c>
      <c r="F33" s="339">
        <v>650.21119999999996</v>
      </c>
      <c r="G33" s="346"/>
      <c r="H33" s="346"/>
      <c r="I33" s="139">
        <f t="shared" si="13"/>
        <v>4452.2344216000001</v>
      </c>
      <c r="J33" s="1046"/>
    </row>
    <row r="34" spans="1:12" ht="18" customHeight="1" x14ac:dyDescent="0.2">
      <c r="A34" s="340" t="s">
        <v>384</v>
      </c>
      <c r="B34" s="339">
        <v>17372</v>
      </c>
      <c r="C34" s="339">
        <f>B34*0.0765</f>
        <v>1328.9580000000001</v>
      </c>
      <c r="D34" s="339">
        <v>70</v>
      </c>
      <c r="E34" s="339">
        <f t="shared" si="11"/>
        <v>88.360940800000009</v>
      </c>
      <c r="F34" s="339">
        <v>650.21119999999996</v>
      </c>
      <c r="G34" s="346"/>
      <c r="H34" s="346"/>
      <c r="I34" s="139">
        <f>SUM(B34:H34)</f>
        <v>19509.530140800001</v>
      </c>
      <c r="J34" s="1046"/>
    </row>
    <row r="35" spans="1:12" ht="15.75" customHeight="1" x14ac:dyDescent="0.25">
      <c r="A35" s="374" t="s">
        <v>391</v>
      </c>
      <c r="B35" s="338">
        <v>-3856.11</v>
      </c>
      <c r="C35" s="338">
        <f t="shared" si="3"/>
        <v>-294.99241499999999</v>
      </c>
      <c r="D35" s="338"/>
      <c r="E35" s="338">
        <v>-148.66</v>
      </c>
      <c r="F35" s="338"/>
      <c r="G35" s="360">
        <v>1233.76</v>
      </c>
      <c r="H35" s="338">
        <v>-366.36</v>
      </c>
      <c r="I35" s="141">
        <f>SUM(B35:H35)</f>
        <v>-3432.3624150000001</v>
      </c>
      <c r="J35" s="1046"/>
      <c r="L35" s="333"/>
    </row>
    <row r="36" spans="1:12" ht="16.5" customHeight="1" x14ac:dyDescent="0.2">
      <c r="A36" s="373" t="s">
        <v>387</v>
      </c>
      <c r="B36" s="361"/>
      <c r="C36" s="361"/>
      <c r="D36" s="361"/>
      <c r="E36" s="361">
        <v>-8383</v>
      </c>
      <c r="F36" s="361"/>
      <c r="G36" s="362">
        <v>-14771.84</v>
      </c>
      <c r="H36" s="362"/>
      <c r="I36" s="140">
        <f>SUM(B36:H36)</f>
        <v>-23154.84</v>
      </c>
      <c r="J36" s="1046"/>
    </row>
    <row r="37" spans="1:12" ht="18" customHeight="1" thickBot="1" x14ac:dyDescent="0.25">
      <c r="A37" s="347"/>
      <c r="B37" s="372">
        <f>SUM(B2:B36)</f>
        <v>1673766.0899999999</v>
      </c>
      <c r="C37" s="371">
        <f t="shared" ref="C37:H37" si="18">SUM(C2:C36)</f>
        <v>128043.105885</v>
      </c>
      <c r="D37" s="371">
        <f t="shared" si="18"/>
        <v>4510</v>
      </c>
      <c r="E37" s="372">
        <f t="shared" si="18"/>
        <v>47945.713001439981</v>
      </c>
      <c r="F37" s="371">
        <f t="shared" si="18"/>
        <v>49251.170799999978</v>
      </c>
      <c r="G37" s="371">
        <f t="shared" si="18"/>
        <v>188738.84000000005</v>
      </c>
      <c r="H37" s="372">
        <f t="shared" si="18"/>
        <v>154762.57900000003</v>
      </c>
      <c r="I37" s="371">
        <f>SUM(I2:I36)</f>
        <v>2247017.4986864403</v>
      </c>
      <c r="J37" s="1046"/>
    </row>
    <row r="38" spans="1:12" ht="14.25" customHeight="1" thickTop="1" x14ac:dyDescent="0.2">
      <c r="A38" s="258" t="s">
        <v>396</v>
      </c>
      <c r="B38" s="258"/>
      <c r="C38" s="1043">
        <f>SUM(C37:H37)</f>
        <v>573251.40868644009</v>
      </c>
      <c r="D38" s="1044"/>
      <c r="E38" s="1044"/>
      <c r="F38" s="1044"/>
      <c r="G38" s="1044"/>
      <c r="H38" s="1045"/>
      <c r="I38" s="258"/>
      <c r="J38" s="1046"/>
    </row>
    <row r="39" spans="1:12" ht="13.5" customHeight="1" x14ac:dyDescent="0.2">
      <c r="A39" s="22" t="s">
        <v>382</v>
      </c>
      <c r="B39" s="92"/>
      <c r="C39" s="92"/>
      <c r="D39" s="92"/>
      <c r="E39" s="92"/>
      <c r="F39" s="92"/>
      <c r="G39" s="92"/>
      <c r="H39" s="92"/>
    </row>
  </sheetData>
  <mergeCells count="2">
    <mergeCell ref="C38:H38"/>
    <mergeCell ref="J1:J38"/>
  </mergeCells>
  <phoneticPr fontId="20" type="noConversion"/>
  <printOptions horizontalCentered="1"/>
  <pageMargins left="0.5" right="0.5" top="0.5" bottom="0.5" header="0.25" footer="0.25"/>
  <pageSetup orientation="portrait" r:id="rId1"/>
  <headerFooter alignWithMargins="0">
    <oddHeader xml:space="preserve">&amp;CINFORMATION SHEET Total cost&amp;"Arial,Bold" to&amp;"Arial,Regular" ESD per employee (&amp;"Arial,Bold"ex&amp;"Arial,Regular"cluding uniform, gear, and unsched OT).  AFTER actual rather than projected Lieutenant promotions
</oddHeader>
    <oddFooter>&amp;L&amp;F, 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G29"/>
  <sheetViews>
    <sheetView workbookViewId="0">
      <selection sqref="A1:D2"/>
    </sheetView>
  </sheetViews>
  <sheetFormatPr defaultRowHeight="12.75" x14ac:dyDescent="0.2"/>
  <cols>
    <col min="1" max="1" width="6.28515625" customWidth="1"/>
    <col min="2" max="3" width="11.28515625" customWidth="1"/>
    <col min="4" max="4" width="11.28515625" style="331" customWidth="1"/>
    <col min="5" max="7" width="14" customWidth="1"/>
    <col min="8" max="8" width="11.42578125" customWidth="1"/>
    <col min="9" max="9" width="10.28515625" bestFit="1" customWidth="1"/>
  </cols>
  <sheetData>
    <row r="1" spans="1:7" ht="20.100000000000001" customHeight="1" x14ac:dyDescent="0.3">
      <c r="A1" s="1050" t="s">
        <v>630</v>
      </c>
      <c r="B1" s="1050"/>
      <c r="C1" s="1050"/>
      <c r="D1" s="1050"/>
      <c r="E1" s="648"/>
      <c r="F1" s="648"/>
      <c r="G1" s="648"/>
    </row>
    <row r="2" spans="1:7" ht="20.100000000000001" customHeight="1" thickBot="1" x14ac:dyDescent="0.25">
      <c r="A2" s="1051"/>
      <c r="B2" s="1051"/>
      <c r="C2" s="1051"/>
      <c r="D2" s="1051"/>
      <c r="E2" s="24"/>
      <c r="F2" s="24"/>
      <c r="G2" s="24"/>
    </row>
    <row r="3" spans="1:7" ht="20.100000000000001" customHeight="1" x14ac:dyDescent="0.2">
      <c r="A3" s="1049" t="s">
        <v>164</v>
      </c>
      <c r="B3" s="652" t="s">
        <v>612</v>
      </c>
      <c r="C3" s="652" t="s">
        <v>650</v>
      </c>
      <c r="D3" s="578" t="s">
        <v>728</v>
      </c>
      <c r="E3" s="18"/>
    </row>
    <row r="4" spans="1:7" ht="20.100000000000001" customHeight="1" x14ac:dyDescent="0.25">
      <c r="A4" s="1048"/>
      <c r="B4" s="580">
        <v>16.28</v>
      </c>
      <c r="C4" s="580">
        <v>16.64</v>
      </c>
      <c r="D4" s="580">
        <f>'642 PAYROLL'!M18</f>
        <v>17.12256</v>
      </c>
      <c r="E4" s="13"/>
      <c r="F4" s="20"/>
      <c r="G4" s="19"/>
    </row>
    <row r="5" spans="1:7" ht="20.100000000000001" customHeight="1" x14ac:dyDescent="0.2">
      <c r="A5" s="650"/>
      <c r="B5" s="583"/>
      <c r="C5" s="583"/>
      <c r="D5" s="582"/>
      <c r="E5" s="16"/>
      <c r="F5" s="16"/>
      <c r="G5" s="16"/>
    </row>
    <row r="6" spans="1:7" ht="20.100000000000001" customHeight="1" x14ac:dyDescent="0.2">
      <c r="A6" s="1049" t="s">
        <v>164</v>
      </c>
      <c r="B6" s="651" t="s">
        <v>613</v>
      </c>
      <c r="C6" s="651" t="s">
        <v>651</v>
      </c>
      <c r="D6" s="579" t="s">
        <v>729</v>
      </c>
      <c r="G6" s="16"/>
    </row>
    <row r="7" spans="1:7" ht="20.100000000000001" customHeight="1" x14ac:dyDescent="0.2">
      <c r="A7" s="1048"/>
      <c r="B7" s="580">
        <v>18.5</v>
      </c>
      <c r="C7" s="580">
        <v>18.91</v>
      </c>
      <c r="D7" s="580">
        <f>'642 PAYROLL'!M13</f>
        <v>21.012180000000001</v>
      </c>
      <c r="G7" s="16"/>
    </row>
    <row r="8" spans="1:7" ht="20.100000000000001" customHeight="1" x14ac:dyDescent="0.2">
      <c r="A8" s="650"/>
      <c r="B8" s="583"/>
      <c r="C8" s="583"/>
      <c r="D8" s="582"/>
      <c r="G8" s="16"/>
    </row>
    <row r="9" spans="1:7" ht="20.100000000000001" customHeight="1" x14ac:dyDescent="0.2">
      <c r="A9" s="1049" t="s">
        <v>164</v>
      </c>
      <c r="B9" s="651" t="s">
        <v>614</v>
      </c>
      <c r="C9" s="651" t="s">
        <v>652</v>
      </c>
      <c r="D9" s="579" t="s">
        <v>730</v>
      </c>
      <c r="G9" s="16"/>
    </row>
    <row r="10" spans="1:7" ht="20.100000000000001" customHeight="1" x14ac:dyDescent="0.2">
      <c r="A10" s="1048"/>
      <c r="B10" s="580">
        <v>20.88</v>
      </c>
      <c r="C10" s="580">
        <v>21.34</v>
      </c>
      <c r="D10" s="580">
        <f>'642 PAYROLL'!M9</f>
        <v>24.644549999999999</v>
      </c>
      <c r="G10" s="16"/>
    </row>
    <row r="11" spans="1:7" ht="20.100000000000001" customHeight="1" x14ac:dyDescent="0.2">
      <c r="A11" s="650"/>
      <c r="B11" s="583"/>
      <c r="C11" s="583"/>
      <c r="D11" s="582"/>
    </row>
    <row r="12" spans="1:7" ht="20.100000000000001" customHeight="1" x14ac:dyDescent="0.2">
      <c r="A12" s="1049" t="s">
        <v>164</v>
      </c>
      <c r="B12" s="651" t="s">
        <v>615</v>
      </c>
      <c r="C12" s="651" t="s">
        <v>653</v>
      </c>
      <c r="D12" s="579" t="s">
        <v>731</v>
      </c>
    </row>
    <row r="13" spans="1:7" ht="20.100000000000001" customHeight="1" x14ac:dyDescent="0.2">
      <c r="A13" s="1048"/>
      <c r="B13" s="580">
        <v>21.67</v>
      </c>
      <c r="C13" s="580">
        <v>22.15</v>
      </c>
      <c r="D13" s="580">
        <f>'642 PAYROLL'!M6</f>
        <v>27.145019999999995</v>
      </c>
    </row>
    <row r="14" spans="1:7" ht="20.100000000000001" customHeight="1" x14ac:dyDescent="0.2">
      <c r="A14" s="945"/>
      <c r="B14" s="583"/>
      <c r="C14" s="583"/>
      <c r="D14" s="582"/>
    </row>
    <row r="15" spans="1:7" ht="20.100000000000001" customHeight="1" x14ac:dyDescent="0.2">
      <c r="A15" s="1047" t="s">
        <v>164</v>
      </c>
      <c r="B15" s="944" t="s">
        <v>698</v>
      </c>
      <c r="C15" s="944" t="s">
        <v>699</v>
      </c>
      <c r="D15" s="943" t="s">
        <v>732</v>
      </c>
      <c r="E15" s="16"/>
    </row>
    <row r="16" spans="1:7" ht="20.100000000000001" customHeight="1" x14ac:dyDescent="0.2">
      <c r="A16" s="1048"/>
      <c r="B16" s="580" t="s">
        <v>700</v>
      </c>
      <c r="C16" s="580">
        <v>28.08</v>
      </c>
      <c r="D16" s="580">
        <f>'642 PAYROLL'!M3</f>
        <v>28.894319999999997</v>
      </c>
    </row>
    <row r="17" spans="1:4" ht="20.100000000000001" customHeight="1" thickBot="1" x14ac:dyDescent="0.25">
      <c r="A17" s="649"/>
      <c r="B17" s="584"/>
      <c r="C17" s="584"/>
      <c r="D17" s="581"/>
    </row>
    <row r="18" spans="1:4" ht="20.100000000000001" customHeight="1" x14ac:dyDescent="0.2"/>
    <row r="19" spans="1:4" ht="20.100000000000001" customHeight="1" x14ac:dyDescent="0.2"/>
    <row r="20" spans="1:4" ht="20.100000000000001" customHeight="1" x14ac:dyDescent="0.2"/>
    <row r="21" spans="1:4" ht="20.100000000000001" customHeight="1" x14ac:dyDescent="0.2"/>
    <row r="22" spans="1:4" ht="20.100000000000001" customHeight="1" x14ac:dyDescent="0.2"/>
    <row r="23" spans="1:4" ht="20.100000000000001" customHeight="1" x14ac:dyDescent="0.2"/>
    <row r="24" spans="1:4" ht="20.100000000000001" customHeight="1" x14ac:dyDescent="0.2"/>
    <row r="25" spans="1:4" ht="20.100000000000001" customHeight="1" x14ac:dyDescent="0.2"/>
    <row r="26" spans="1:4" ht="20.100000000000001" customHeight="1" x14ac:dyDescent="0.2"/>
    <row r="27" spans="1:4" ht="20.100000000000001" customHeight="1" x14ac:dyDescent="0.2"/>
    <row r="28" spans="1:4" ht="20.100000000000001" customHeight="1" x14ac:dyDescent="0.2"/>
    <row r="29" spans="1:4" ht="20.100000000000001" customHeight="1" x14ac:dyDescent="0.2"/>
  </sheetData>
  <mergeCells count="6">
    <mergeCell ref="A15:A16"/>
    <mergeCell ref="A6:A7"/>
    <mergeCell ref="A9:A10"/>
    <mergeCell ref="A12:A13"/>
    <mergeCell ref="A1:D2"/>
    <mergeCell ref="A3:A4"/>
  </mergeCells>
  <phoneticPr fontId="20" type="noConversion"/>
  <printOptions horizontalCentered="1"/>
  <pageMargins left="1" right="0.75" top="1.25" bottom="1" header="0.75" footer="0.5"/>
  <pageSetup orientation="portrait" r:id="rId1"/>
  <headerFooter alignWithMargins="0">
    <oddFooter>&amp;L&amp;F, 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BD24"/>
  <sheetViews>
    <sheetView workbookViewId="0">
      <selection sqref="A1:M1"/>
    </sheetView>
  </sheetViews>
  <sheetFormatPr defaultRowHeight="12.75" x14ac:dyDescent="0.2"/>
  <cols>
    <col min="1" max="1" width="12.85546875" customWidth="1"/>
    <col min="2" max="2" width="6.42578125" customWidth="1"/>
    <col min="3" max="3" width="7.42578125" customWidth="1"/>
    <col min="4" max="13" width="11.7109375" customWidth="1"/>
    <col min="14" max="23" width="10" customWidth="1"/>
  </cols>
  <sheetData>
    <row r="1" spans="1:56" ht="30" customHeight="1" x14ac:dyDescent="0.2">
      <c r="A1" s="1052" t="s">
        <v>654</v>
      </c>
      <c r="B1" s="1052"/>
      <c r="C1" s="1052"/>
      <c r="D1" s="1052"/>
      <c r="E1" s="1052"/>
      <c r="F1" s="1052"/>
      <c r="G1" s="1052"/>
      <c r="H1" s="1052"/>
      <c r="I1" s="1052"/>
      <c r="J1" s="1052"/>
      <c r="K1" s="1052"/>
      <c r="L1" s="1052"/>
      <c r="M1" s="1052"/>
      <c r="N1" s="142"/>
      <c r="O1" s="142"/>
      <c r="P1" s="142"/>
    </row>
    <row r="2" spans="1:56" ht="9.75" customHeight="1" x14ac:dyDescent="0.2">
      <c r="A2" s="143"/>
      <c r="B2" s="142"/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</row>
    <row r="3" spans="1:56" ht="23.25" customHeight="1" x14ac:dyDescent="0.25">
      <c r="A3" s="1053" t="s">
        <v>43</v>
      </c>
      <c r="B3" s="1054"/>
      <c r="C3" s="1054"/>
      <c r="D3" s="596" t="s">
        <v>244</v>
      </c>
      <c r="E3" s="597">
        <f>'642 PAYROLL'!M18</f>
        <v>17.12256</v>
      </c>
      <c r="F3" s="596" t="s">
        <v>603</v>
      </c>
      <c r="G3" s="597">
        <f>'642 PAYROLL'!M13</f>
        <v>21.012180000000001</v>
      </c>
      <c r="H3" s="596" t="s">
        <v>242</v>
      </c>
      <c r="I3" s="597">
        <f>'642 PAYROLL'!M9</f>
        <v>24.644549999999999</v>
      </c>
      <c r="J3" s="596" t="s">
        <v>241</v>
      </c>
      <c r="K3" s="597">
        <f>'642 PAYROLL'!M6</f>
        <v>27.145019999999995</v>
      </c>
      <c r="L3" s="596" t="s">
        <v>697</v>
      </c>
      <c r="M3" s="597">
        <f>'642 PAYROLL'!M3</f>
        <v>28.894319999999997</v>
      </c>
      <c r="O3" s="142"/>
      <c r="P3" s="142"/>
    </row>
    <row r="4" spans="1:56" ht="9.75" customHeight="1" x14ac:dyDescent="0.2">
      <c r="A4" s="143"/>
      <c r="B4" s="142"/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</row>
    <row r="5" spans="1:56" ht="13.5" thickBot="1" x14ac:dyDescent="0.25">
      <c r="A5" s="144"/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56" ht="19.5" customHeight="1" x14ac:dyDescent="0.2">
      <c r="A6" s="146" t="s">
        <v>44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8"/>
      <c r="M6" s="149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</row>
    <row r="7" spans="1:56" ht="19.5" customHeight="1" x14ac:dyDescent="0.2">
      <c r="A7" s="150"/>
      <c r="B7" s="151"/>
      <c r="C7" s="152" t="s">
        <v>334</v>
      </c>
      <c r="D7" s="153">
        <v>1</v>
      </c>
      <c r="E7" s="153">
        <v>2</v>
      </c>
      <c r="F7" s="153">
        <v>3</v>
      </c>
      <c r="G7" s="153">
        <v>4</v>
      </c>
      <c r="H7" s="153">
        <v>5</v>
      </c>
      <c r="I7" s="153">
        <v>6</v>
      </c>
      <c r="J7" s="153">
        <v>7</v>
      </c>
      <c r="K7" s="153">
        <v>8</v>
      </c>
      <c r="L7" s="646">
        <v>9</v>
      </c>
      <c r="M7" s="154">
        <v>10</v>
      </c>
    </row>
    <row r="8" spans="1:56" ht="19.5" customHeight="1" x14ac:dyDescent="0.2">
      <c r="A8" s="150"/>
      <c r="B8" s="155" t="s">
        <v>45</v>
      </c>
      <c r="C8" s="156"/>
      <c r="D8" s="157"/>
      <c r="E8" s="158"/>
      <c r="F8" s="158"/>
      <c r="G8" s="158"/>
      <c r="H8" s="158"/>
      <c r="I8" s="158"/>
      <c r="J8" s="158"/>
      <c r="K8" s="158"/>
      <c r="L8" s="158"/>
      <c r="M8" s="159"/>
    </row>
    <row r="9" spans="1:56" ht="19.5" customHeight="1" x14ac:dyDescent="0.2">
      <c r="A9" s="150"/>
      <c r="B9" s="151"/>
      <c r="C9" s="160" t="s">
        <v>46</v>
      </c>
      <c r="D9" s="161">
        <v>0.25</v>
      </c>
      <c r="E9" s="161">
        <v>0.2</v>
      </c>
      <c r="F9" s="161">
        <v>0.15</v>
      </c>
      <c r="G9" s="161">
        <v>0.1</v>
      </c>
      <c r="H9" s="161">
        <v>0.2</v>
      </c>
      <c r="I9" s="161">
        <v>0.1</v>
      </c>
      <c r="J9" s="161">
        <v>0.2</v>
      </c>
      <c r="K9" s="161">
        <v>0.1</v>
      </c>
      <c r="L9" s="647">
        <v>0.2</v>
      </c>
      <c r="M9" s="162">
        <v>0.1</v>
      </c>
    </row>
    <row r="10" spans="1:56" ht="19.5" customHeight="1" x14ac:dyDescent="0.2">
      <c r="A10" s="150"/>
      <c r="B10" s="151"/>
      <c r="C10" s="160" t="s">
        <v>47</v>
      </c>
      <c r="D10" s="161">
        <v>0.25</v>
      </c>
      <c r="E10" s="161">
        <f t="shared" ref="E10:M10" si="0">+D10+E9</f>
        <v>0.45</v>
      </c>
      <c r="F10" s="161">
        <f t="shared" si="0"/>
        <v>0.6</v>
      </c>
      <c r="G10" s="161">
        <f t="shared" si="0"/>
        <v>0.7</v>
      </c>
      <c r="H10" s="161">
        <f t="shared" si="0"/>
        <v>0.89999999999999991</v>
      </c>
      <c r="I10" s="161">
        <f t="shared" si="0"/>
        <v>0.99999999999999989</v>
      </c>
      <c r="J10" s="161">
        <f t="shared" si="0"/>
        <v>1.2</v>
      </c>
      <c r="K10" s="161">
        <f t="shared" si="0"/>
        <v>1.3</v>
      </c>
      <c r="L10" s="161">
        <f t="shared" si="0"/>
        <v>1.5</v>
      </c>
      <c r="M10" s="162">
        <f t="shared" si="0"/>
        <v>1.6</v>
      </c>
    </row>
    <row r="12" spans="1:56" ht="13.5" thickBot="1" x14ac:dyDescent="0.25"/>
    <row r="13" spans="1:56" ht="19.5" customHeight="1" x14ac:dyDescent="0.2">
      <c r="A13" s="146" t="s">
        <v>44</v>
      </c>
      <c r="B13" s="147"/>
      <c r="C13" s="147"/>
      <c r="D13" s="148"/>
      <c r="E13" s="148"/>
      <c r="F13" s="148"/>
      <c r="G13" s="148"/>
      <c r="H13" s="148"/>
      <c r="I13" s="148"/>
      <c r="J13" s="148"/>
      <c r="K13" s="148"/>
      <c r="L13" s="148"/>
      <c r="M13" s="149"/>
    </row>
    <row r="14" spans="1:56" ht="19.5" customHeight="1" x14ac:dyDescent="0.2">
      <c r="A14" s="150"/>
      <c r="B14" s="151"/>
      <c r="C14" s="152" t="s">
        <v>334</v>
      </c>
      <c r="D14" s="153">
        <v>11</v>
      </c>
      <c r="E14" s="153">
        <v>12</v>
      </c>
      <c r="F14" s="153">
        <v>13</v>
      </c>
      <c r="G14" s="153">
        <v>14</v>
      </c>
      <c r="H14" s="153">
        <v>15</v>
      </c>
      <c r="I14" s="153">
        <v>16</v>
      </c>
      <c r="J14" s="153">
        <v>17</v>
      </c>
      <c r="K14" s="153">
        <v>18</v>
      </c>
      <c r="L14" s="646">
        <v>19</v>
      </c>
      <c r="M14" s="154">
        <v>20</v>
      </c>
    </row>
    <row r="15" spans="1:56" ht="19.5" customHeight="1" x14ac:dyDescent="0.2">
      <c r="A15" s="150"/>
      <c r="B15" s="155" t="s">
        <v>45</v>
      </c>
      <c r="C15" s="155"/>
      <c r="D15" s="158"/>
      <c r="E15" s="163"/>
      <c r="F15" s="158"/>
      <c r="G15" s="158"/>
      <c r="H15" s="158"/>
      <c r="I15" s="158"/>
      <c r="J15" s="158"/>
      <c r="K15" s="158"/>
      <c r="L15" s="158"/>
      <c r="M15" s="159"/>
    </row>
    <row r="16" spans="1:56" ht="19.5" customHeight="1" x14ac:dyDescent="0.2">
      <c r="A16" s="150"/>
      <c r="B16" s="151"/>
      <c r="C16" s="160" t="s">
        <v>46</v>
      </c>
      <c r="D16" s="161">
        <v>0.2</v>
      </c>
      <c r="E16" s="161">
        <v>0.1</v>
      </c>
      <c r="F16" s="161">
        <v>0.2</v>
      </c>
      <c r="G16" s="161">
        <v>0.1</v>
      </c>
      <c r="H16" s="161">
        <v>0.2</v>
      </c>
      <c r="I16" s="161">
        <v>0.1</v>
      </c>
      <c r="J16" s="161">
        <v>0.2</v>
      </c>
      <c r="K16" s="161">
        <v>0.1</v>
      </c>
      <c r="L16" s="647">
        <v>0.2</v>
      </c>
      <c r="M16" s="162">
        <v>0.1</v>
      </c>
    </row>
    <row r="17" spans="1:13" ht="19.5" customHeight="1" x14ac:dyDescent="0.2">
      <c r="A17" s="150"/>
      <c r="B17" s="151"/>
      <c r="C17" s="160" t="s">
        <v>47</v>
      </c>
      <c r="D17" s="161">
        <f>+M10+D16</f>
        <v>1.8</v>
      </c>
      <c r="E17" s="164">
        <f t="shared" ref="E17:M17" si="1">+D17+E16</f>
        <v>1.9000000000000001</v>
      </c>
      <c r="F17" s="164">
        <f t="shared" si="1"/>
        <v>2.1</v>
      </c>
      <c r="G17" s="164">
        <f t="shared" si="1"/>
        <v>2.2000000000000002</v>
      </c>
      <c r="H17" s="164">
        <f t="shared" si="1"/>
        <v>2.4000000000000004</v>
      </c>
      <c r="I17" s="164">
        <f t="shared" si="1"/>
        <v>2.5000000000000004</v>
      </c>
      <c r="J17" s="164">
        <f t="shared" si="1"/>
        <v>2.7000000000000006</v>
      </c>
      <c r="K17" s="164">
        <f t="shared" si="1"/>
        <v>2.8000000000000007</v>
      </c>
      <c r="L17" s="164">
        <f t="shared" si="1"/>
        <v>3.0000000000000009</v>
      </c>
      <c r="M17" s="162">
        <f t="shared" si="1"/>
        <v>3.100000000000001</v>
      </c>
    </row>
    <row r="19" spans="1:13" ht="13.5" thickBot="1" x14ac:dyDescent="0.25"/>
    <row r="20" spans="1:13" ht="19.5" customHeight="1" x14ac:dyDescent="0.2">
      <c r="A20" s="146" t="s">
        <v>44</v>
      </c>
      <c r="B20" s="147"/>
      <c r="C20" s="147"/>
      <c r="D20" s="148"/>
      <c r="E20" s="148"/>
      <c r="F20" s="148"/>
      <c r="G20" s="148"/>
      <c r="H20" s="148"/>
      <c r="I20" s="148"/>
      <c r="J20" s="148"/>
      <c r="K20" s="148"/>
      <c r="L20" s="148"/>
      <c r="M20" s="149"/>
    </row>
    <row r="21" spans="1:13" ht="19.5" customHeight="1" x14ac:dyDescent="0.2">
      <c r="A21" s="150"/>
      <c r="B21" s="151"/>
      <c r="C21" s="152" t="s">
        <v>334</v>
      </c>
      <c r="D21" s="153">
        <v>21</v>
      </c>
      <c r="E21" s="153">
        <v>22</v>
      </c>
      <c r="F21" s="153">
        <v>23</v>
      </c>
      <c r="G21" s="153">
        <v>24</v>
      </c>
      <c r="H21" s="153">
        <v>25</v>
      </c>
      <c r="I21" s="153">
        <v>26</v>
      </c>
      <c r="J21" s="153">
        <v>27</v>
      </c>
      <c r="K21" s="153">
        <v>28</v>
      </c>
      <c r="L21" s="646">
        <v>29</v>
      </c>
      <c r="M21" s="154">
        <v>30</v>
      </c>
    </row>
    <row r="22" spans="1:13" ht="19.5" customHeight="1" x14ac:dyDescent="0.2">
      <c r="A22" s="150"/>
      <c r="B22" s="155" t="s">
        <v>45</v>
      </c>
      <c r="C22" s="155"/>
      <c r="D22" s="158"/>
      <c r="E22" s="163"/>
      <c r="F22" s="158"/>
      <c r="G22" s="158"/>
      <c r="H22" s="158"/>
      <c r="I22" s="158"/>
      <c r="J22" s="158"/>
      <c r="K22" s="158"/>
      <c r="L22" s="158"/>
      <c r="M22" s="159"/>
    </row>
    <row r="23" spans="1:13" ht="19.5" customHeight="1" x14ac:dyDescent="0.2">
      <c r="A23" s="150"/>
      <c r="B23" s="151"/>
      <c r="C23" s="160" t="s">
        <v>46</v>
      </c>
      <c r="D23" s="161">
        <v>0.2</v>
      </c>
      <c r="E23" s="161">
        <v>0.1</v>
      </c>
      <c r="F23" s="161">
        <v>0.2</v>
      </c>
      <c r="G23" s="161">
        <v>0.1</v>
      </c>
      <c r="H23" s="161">
        <v>0.2</v>
      </c>
      <c r="I23" s="161">
        <v>0.1</v>
      </c>
      <c r="J23" s="161">
        <v>0.2</v>
      </c>
      <c r="K23" s="161">
        <v>0.1</v>
      </c>
      <c r="L23" s="647">
        <v>0.2</v>
      </c>
      <c r="M23" s="162">
        <v>0.1</v>
      </c>
    </row>
    <row r="24" spans="1:13" ht="19.5" customHeight="1" x14ac:dyDescent="0.2">
      <c r="A24" s="150"/>
      <c r="B24" s="151"/>
      <c r="C24" s="160" t="s">
        <v>47</v>
      </c>
      <c r="D24" s="161">
        <f>+M17+D23</f>
        <v>3.3000000000000012</v>
      </c>
      <c r="E24" s="161">
        <f t="shared" ref="E24:M24" si="2">+D24+E23</f>
        <v>3.4000000000000012</v>
      </c>
      <c r="F24" s="161">
        <f t="shared" si="2"/>
        <v>3.6000000000000014</v>
      </c>
      <c r="G24" s="161">
        <f t="shared" si="2"/>
        <v>3.7000000000000015</v>
      </c>
      <c r="H24" s="161">
        <f t="shared" si="2"/>
        <v>3.9000000000000017</v>
      </c>
      <c r="I24" s="161">
        <f t="shared" si="2"/>
        <v>4.0000000000000018</v>
      </c>
      <c r="J24" s="161">
        <f t="shared" si="2"/>
        <v>4.200000000000002</v>
      </c>
      <c r="K24" s="161">
        <f t="shared" si="2"/>
        <v>4.3000000000000016</v>
      </c>
      <c r="L24" s="161">
        <f t="shared" si="2"/>
        <v>4.5000000000000018</v>
      </c>
      <c r="M24" s="162">
        <f t="shared" si="2"/>
        <v>4.6000000000000014</v>
      </c>
    </row>
  </sheetData>
  <mergeCells count="2">
    <mergeCell ref="A1:M1"/>
    <mergeCell ref="A3:C3"/>
  </mergeCells>
  <printOptions horizontalCentered="1"/>
  <pageMargins left="0.25" right="0.25" top="0.43" bottom="0.55000000000000004" header="0.23" footer="0.3"/>
  <pageSetup scale="94" orientation="landscape" r:id="rId1"/>
  <headerFooter alignWithMargins="0">
    <oddFooter>&amp;L&amp;F, 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R30"/>
  <sheetViews>
    <sheetView zoomScaleNormal="100" workbookViewId="0"/>
  </sheetViews>
  <sheetFormatPr defaultColWidth="10.42578125" defaultRowHeight="12.75" x14ac:dyDescent="0.2"/>
  <cols>
    <col min="1" max="1" width="28.140625" style="166" bestFit="1" customWidth="1"/>
    <col min="2" max="2" width="21.140625" style="166" bestFit="1" customWidth="1"/>
    <col min="3" max="3" width="23.28515625" style="166" bestFit="1" customWidth="1"/>
    <col min="4" max="16" width="9.42578125" style="166" customWidth="1"/>
    <col min="17" max="16384" width="10.42578125" style="166"/>
  </cols>
  <sheetData>
    <row r="1" spans="1:18" x14ac:dyDescent="0.2">
      <c r="C1" s="167"/>
      <c r="D1" s="167"/>
      <c r="E1" s="167"/>
      <c r="F1" s="167"/>
      <c r="G1" s="167"/>
      <c r="H1" s="167"/>
      <c r="I1" s="167"/>
      <c r="J1" s="168"/>
      <c r="K1" s="167"/>
      <c r="L1" s="167"/>
      <c r="M1" s="167"/>
      <c r="N1" s="167"/>
      <c r="O1" s="169"/>
      <c r="P1" s="170"/>
      <c r="Q1" s="167"/>
      <c r="R1" s="167"/>
    </row>
    <row r="2" spans="1:18" s="174" customFormat="1" ht="24.95" customHeight="1" x14ac:dyDescent="0.25">
      <c r="A2" s="644" t="s">
        <v>28</v>
      </c>
      <c r="B2" s="644" t="s">
        <v>737</v>
      </c>
      <c r="C2" s="644" t="s">
        <v>738</v>
      </c>
      <c r="D2"/>
      <c r="E2"/>
      <c r="F2"/>
      <c r="G2" s="171"/>
      <c r="H2" s="171"/>
      <c r="I2" s="171"/>
      <c r="J2" s="171"/>
      <c r="K2" s="171"/>
      <c r="L2" s="171"/>
      <c r="M2" s="171"/>
      <c r="N2" s="171"/>
      <c r="O2" s="172"/>
      <c r="P2" s="173"/>
      <c r="Q2" s="172"/>
      <c r="R2" s="171"/>
    </row>
    <row r="3" spans="1:18" ht="24.75" customHeight="1" x14ac:dyDescent="0.2">
      <c r="A3" s="645" t="s">
        <v>29</v>
      </c>
      <c r="B3" s="658">
        <f>(50*12)/2756</f>
        <v>0.21770682148040638</v>
      </c>
      <c r="C3" s="658">
        <f>(50*12)/2080</f>
        <v>0.28846153846153844</v>
      </c>
      <c r="D3"/>
      <c r="E3"/>
      <c r="F3"/>
      <c r="G3" s="175"/>
      <c r="H3" s="175"/>
      <c r="I3" s="175"/>
      <c r="J3" s="175"/>
      <c r="K3" s="175"/>
      <c r="L3" s="175"/>
      <c r="M3" s="175"/>
      <c r="N3" s="175"/>
      <c r="O3" s="175"/>
      <c r="P3" s="175"/>
      <c r="Q3" s="176"/>
      <c r="R3" s="167"/>
    </row>
    <row r="4" spans="1:18" ht="24.95" hidden="1" customHeight="1" x14ac:dyDescent="0.2">
      <c r="A4" s="645" t="s">
        <v>30</v>
      </c>
      <c r="B4" s="658">
        <v>50</v>
      </c>
      <c r="C4" s="658">
        <v>51</v>
      </c>
      <c r="D4"/>
      <c r="E4"/>
      <c r="F4"/>
      <c r="G4"/>
      <c r="H4" s="175"/>
      <c r="I4" s="175"/>
      <c r="J4" s="175"/>
      <c r="K4" s="175"/>
      <c r="L4" s="175"/>
      <c r="M4" s="175"/>
      <c r="N4" s="175"/>
      <c r="O4" s="175"/>
      <c r="P4" s="175"/>
      <c r="Q4" s="176"/>
      <c r="R4" s="167"/>
    </row>
    <row r="5" spans="1:18" ht="24.95" customHeight="1" x14ac:dyDescent="0.2">
      <c r="A5" s="645" t="s">
        <v>733</v>
      </c>
      <c r="B5" s="658">
        <f>(50*12)/2756</f>
        <v>0.21770682148040638</v>
      </c>
      <c r="C5" s="658">
        <f>(50*12)/2080</f>
        <v>0.28846153846153844</v>
      </c>
      <c r="D5"/>
      <c r="E5"/>
      <c r="F5" s="657"/>
      <c r="G5" s="657"/>
      <c r="H5" s="175"/>
      <c r="I5" s="175"/>
      <c r="J5" s="175"/>
      <c r="K5" s="175"/>
      <c r="L5" s="175"/>
      <c r="M5" s="175"/>
      <c r="N5" s="175"/>
      <c r="O5" s="175"/>
      <c r="P5" s="175"/>
      <c r="Q5" s="176"/>
      <c r="R5" s="167"/>
    </row>
    <row r="6" spans="1:18" ht="24.95" customHeight="1" x14ac:dyDescent="0.2">
      <c r="A6" s="645" t="s">
        <v>734</v>
      </c>
      <c r="B6" s="658">
        <f>(70*12)/2756</f>
        <v>0.30478955007256892</v>
      </c>
      <c r="C6" s="658">
        <f>(70*12)/2080</f>
        <v>0.40384615384615385</v>
      </c>
      <c r="D6"/>
      <c r="E6"/>
      <c r="F6" s="657"/>
      <c r="G6" s="657"/>
      <c r="H6" s="175"/>
      <c r="I6" s="175"/>
      <c r="J6" s="175"/>
      <c r="K6" s="175"/>
      <c r="L6" s="175"/>
      <c r="M6" s="175"/>
      <c r="N6" s="175"/>
      <c r="O6" s="175"/>
      <c r="P6" s="175"/>
      <c r="Q6" s="176"/>
      <c r="R6" s="167"/>
    </row>
    <row r="7" spans="1:18" ht="24.95" customHeight="1" x14ac:dyDescent="0.2">
      <c r="A7" s="645" t="s">
        <v>735</v>
      </c>
      <c r="B7" s="658">
        <f>(90*12)/2756</f>
        <v>0.39187227866473151</v>
      </c>
      <c r="C7" s="658">
        <f>(90*12)/2080</f>
        <v>0.51923076923076927</v>
      </c>
      <c r="D7"/>
      <c r="E7"/>
      <c r="F7" s="657"/>
      <c r="G7" s="657"/>
      <c r="H7" s="175"/>
      <c r="I7" s="175"/>
      <c r="J7" s="175"/>
      <c r="K7" s="175"/>
      <c r="L7" s="175"/>
      <c r="M7" s="175"/>
      <c r="N7" s="175"/>
      <c r="O7" s="175"/>
      <c r="P7" s="175"/>
      <c r="Q7" s="176"/>
      <c r="R7" s="167"/>
    </row>
    <row r="8" spans="1:18" ht="24.95" customHeight="1" x14ac:dyDescent="0.2">
      <c r="A8" s="645" t="s">
        <v>809</v>
      </c>
      <c r="B8" s="658">
        <f>(110*12)/2756</f>
        <v>0.47895500725689405</v>
      </c>
      <c r="C8" s="658">
        <f>(110*12)/2080</f>
        <v>0.63461538461538458</v>
      </c>
      <c r="D8"/>
      <c r="E8"/>
      <c r="F8" s="657"/>
      <c r="G8" s="657"/>
      <c r="H8" s="175"/>
      <c r="I8" s="175"/>
      <c r="J8" s="175"/>
      <c r="K8" s="175"/>
      <c r="L8" s="175"/>
      <c r="M8" s="175"/>
      <c r="N8" s="175"/>
      <c r="O8" s="175"/>
      <c r="P8" s="175"/>
      <c r="Q8" s="176"/>
      <c r="R8" s="167"/>
    </row>
    <row r="9" spans="1:18" ht="24.95" customHeight="1" x14ac:dyDescent="0.2">
      <c r="A9" s="645" t="s">
        <v>743</v>
      </c>
      <c r="B9" s="658">
        <f>(130*12)/2756</f>
        <v>0.56603773584905659</v>
      </c>
      <c r="C9" s="658">
        <f>(130*12)/2080</f>
        <v>0.75</v>
      </c>
      <c r="D9"/>
      <c r="E9"/>
      <c r="F9" s="657"/>
      <c r="G9" s="657"/>
      <c r="H9" s="175"/>
      <c r="I9" s="175"/>
      <c r="J9" s="175"/>
      <c r="K9" s="175"/>
      <c r="L9" s="175"/>
      <c r="M9" s="175"/>
      <c r="N9" s="175"/>
      <c r="O9" s="175"/>
      <c r="P9" s="175"/>
      <c r="Q9" s="176"/>
      <c r="R9" s="167"/>
    </row>
    <row r="10" spans="1:18" ht="24.95" customHeight="1" x14ac:dyDescent="0.2">
      <c r="A10" s="645" t="s">
        <v>736</v>
      </c>
      <c r="B10" s="658">
        <v>0.66</v>
      </c>
      <c r="C10" s="658">
        <v>0.87</v>
      </c>
      <c r="D10"/>
      <c r="E10"/>
      <c r="F10" s="657"/>
      <c r="G10" s="657"/>
      <c r="H10" s="175"/>
      <c r="I10" s="175"/>
      <c r="J10" s="175"/>
      <c r="K10" s="175"/>
      <c r="L10" s="175"/>
      <c r="M10" s="175"/>
      <c r="N10" s="175"/>
      <c r="O10" s="175"/>
      <c r="P10" s="175"/>
      <c r="Q10" s="176"/>
      <c r="R10" s="167"/>
    </row>
    <row r="11" spans="1:18" ht="24.95" customHeight="1" x14ac:dyDescent="0.2">
      <c r="A11" s="645" t="s">
        <v>31</v>
      </c>
      <c r="B11" s="658">
        <f>(50*12)/2756</f>
        <v>0.21770682148040638</v>
      </c>
      <c r="C11" s="658">
        <f>(50*12)/2080</f>
        <v>0.28846153846153844</v>
      </c>
      <c r="D11"/>
      <c r="E11"/>
      <c r="F11"/>
      <c r="G11" s="175"/>
      <c r="H11" s="175"/>
      <c r="I11" s="175"/>
      <c r="J11" s="175"/>
      <c r="K11" s="175"/>
      <c r="L11" s="175"/>
      <c r="M11" s="175"/>
      <c r="N11" s="175"/>
      <c r="O11" s="177"/>
      <c r="P11" s="175"/>
      <c r="Q11" s="176"/>
      <c r="R11" s="167"/>
    </row>
    <row r="12" spans="1:18" ht="24.75" customHeight="1" x14ac:dyDescent="0.2">
      <c r="A12" s="645" t="s">
        <v>32</v>
      </c>
      <c r="B12" s="658">
        <f>(50*12)/2756</f>
        <v>0.21770682148040638</v>
      </c>
      <c r="C12" s="658">
        <f>(50*12)/2080</f>
        <v>0.28846153846153844</v>
      </c>
      <c r="D12"/>
      <c r="E12"/>
      <c r="F12"/>
      <c r="G12" s="175"/>
      <c r="H12" s="175"/>
      <c r="I12" s="175"/>
      <c r="J12" s="175"/>
      <c r="K12" s="175"/>
      <c r="L12" s="175"/>
      <c r="M12" s="175"/>
      <c r="N12" s="175"/>
      <c r="O12" s="177"/>
      <c r="P12" s="175"/>
      <c r="Q12" s="176"/>
      <c r="R12" s="167"/>
    </row>
    <row r="13" spans="1:18" ht="24.95" customHeight="1" x14ac:dyDescent="0.2">
      <c r="A13" s="645" t="s">
        <v>629</v>
      </c>
      <c r="B13" s="658">
        <f>(50*12)/2756</f>
        <v>0.21770682148040638</v>
      </c>
      <c r="C13" s="658">
        <f>(50*12)/2080</f>
        <v>0.28846153846153844</v>
      </c>
      <c r="D13"/>
      <c r="E13"/>
      <c r="F13"/>
      <c r="G13" s="175"/>
      <c r="H13" s="175"/>
      <c r="I13" s="175"/>
      <c r="J13" s="175"/>
      <c r="K13" s="175"/>
      <c r="L13" s="175"/>
      <c r="M13" s="175"/>
      <c r="N13" s="175"/>
      <c r="O13" s="175"/>
      <c r="P13" s="175"/>
      <c r="Q13" s="176"/>
      <c r="R13" s="167"/>
    </row>
    <row r="14" spans="1:18" ht="24.95" customHeight="1" x14ac:dyDescent="0.2">
      <c r="A14" s="645" t="s">
        <v>628</v>
      </c>
      <c r="B14" s="658">
        <f>(100*12)/2756</f>
        <v>0.43541364296081275</v>
      </c>
      <c r="C14" s="658">
        <f>(100*12)/2080</f>
        <v>0.57692307692307687</v>
      </c>
      <c r="D14"/>
      <c r="E14"/>
      <c r="F14"/>
      <c r="G14" s="175"/>
      <c r="H14" s="175"/>
      <c r="I14" s="175"/>
      <c r="J14" s="175"/>
      <c r="K14" s="175"/>
      <c r="L14" s="175"/>
      <c r="M14" s="175"/>
      <c r="N14" s="175"/>
      <c r="O14" s="175"/>
      <c r="P14" s="175"/>
      <c r="Q14" s="176"/>
      <c r="R14" s="167"/>
    </row>
    <row r="15" spans="1:18" ht="24.95" customHeight="1" x14ac:dyDescent="0.2">
      <c r="A15" s="645" t="s">
        <v>627</v>
      </c>
      <c r="B15" s="658">
        <f>(200*12)/2756+(0.01)</f>
        <v>0.88082728592162551</v>
      </c>
      <c r="C15" s="658">
        <f>(200*12)/2080</f>
        <v>1.1538461538461537</v>
      </c>
      <c r="D15"/>
      <c r="E15"/>
      <c r="F15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6"/>
      <c r="R15" s="167"/>
    </row>
    <row r="16" spans="1:18" ht="24.95" customHeight="1" x14ac:dyDescent="0.2">
      <c r="A16" s="645" t="s">
        <v>33</v>
      </c>
      <c r="B16" s="658">
        <f>(200*12)/2756+(0.01)</f>
        <v>0.88082728592162551</v>
      </c>
      <c r="C16" s="658">
        <f>(200*12)/2080</f>
        <v>1.1538461538461537</v>
      </c>
      <c r="D16"/>
      <c r="E16"/>
      <c r="F16"/>
      <c r="G16" s="175"/>
      <c r="H16" s="175"/>
      <c r="I16" s="175"/>
      <c r="J16" s="175"/>
      <c r="K16" s="175"/>
      <c r="L16" s="175"/>
      <c r="M16" s="175"/>
      <c r="N16" s="175"/>
      <c r="O16" s="175"/>
      <c r="P16" s="175"/>
      <c r="Q16" s="176"/>
      <c r="R16" s="167"/>
    </row>
    <row r="17" spans="1:18" ht="24.95" customHeight="1" x14ac:dyDescent="0.2">
      <c r="A17" s="645" t="s">
        <v>34</v>
      </c>
      <c r="B17" s="658">
        <f>(50*12)/2756</f>
        <v>0.21770682148040638</v>
      </c>
      <c r="C17" s="658">
        <f>(50*12)/2080</f>
        <v>0.28846153846153844</v>
      </c>
      <c r="D17"/>
      <c r="E17"/>
      <c r="F17"/>
      <c r="G17" s="175"/>
      <c r="H17" s="175"/>
      <c r="I17" s="175"/>
      <c r="J17" s="175"/>
      <c r="K17" s="175"/>
      <c r="L17" s="175"/>
      <c r="M17" s="175"/>
      <c r="N17" s="175"/>
      <c r="O17" s="175"/>
      <c r="P17" s="175"/>
      <c r="Q17" s="176"/>
      <c r="R17" s="167"/>
    </row>
    <row r="18" spans="1:18" ht="24.95" customHeight="1" x14ac:dyDescent="0.2">
      <c r="A18" s="645" t="s">
        <v>35</v>
      </c>
      <c r="B18" s="658">
        <f>(75*12)/2756</f>
        <v>0.32656023222060959</v>
      </c>
      <c r="C18" s="658">
        <f>(75*12)/2080</f>
        <v>0.43269230769230771</v>
      </c>
      <c r="D18"/>
      <c r="E18"/>
      <c r="F18"/>
      <c r="G18" s="175"/>
      <c r="H18" s="175"/>
      <c r="I18" s="175"/>
      <c r="J18" s="175"/>
      <c r="K18" s="175"/>
      <c r="L18" s="175"/>
      <c r="M18" s="175"/>
      <c r="N18" s="175"/>
      <c r="O18" s="175"/>
      <c r="P18" s="175"/>
      <c r="Q18" s="176"/>
      <c r="R18" s="167"/>
    </row>
    <row r="19" spans="1:18" ht="24.95" customHeight="1" x14ac:dyDescent="0.2">
      <c r="A19" s="645" t="s">
        <v>36</v>
      </c>
      <c r="B19" s="658">
        <f>(100*12)/2756</f>
        <v>0.43541364296081275</v>
      </c>
      <c r="C19" s="658">
        <f>(100*12)/2080</f>
        <v>0.57692307692307687</v>
      </c>
      <c r="D19"/>
      <c r="E19"/>
      <c r="F19"/>
      <c r="G19" s="175"/>
      <c r="H19" s="175"/>
      <c r="I19" s="175"/>
      <c r="J19" s="175"/>
      <c r="K19" s="175"/>
      <c r="L19" s="175"/>
      <c r="M19" s="175"/>
      <c r="N19" s="175"/>
      <c r="O19" s="175"/>
      <c r="P19" s="175"/>
      <c r="Q19" s="176"/>
      <c r="R19" s="167"/>
    </row>
    <row r="20" spans="1:18" ht="24.95" customHeight="1" x14ac:dyDescent="0.2">
      <c r="A20" s="645" t="s">
        <v>739</v>
      </c>
      <c r="B20" s="658">
        <f>(50*12)/2756</f>
        <v>0.21770682148040638</v>
      </c>
      <c r="C20" s="658">
        <f>(50*12)/2080</f>
        <v>0.28846153846153844</v>
      </c>
      <c r="D20"/>
      <c r="E20"/>
      <c r="F20"/>
      <c r="G20" s="175"/>
      <c r="H20" s="175"/>
      <c r="I20" s="175"/>
      <c r="J20" s="175"/>
      <c r="K20" s="175"/>
      <c r="L20" s="175"/>
      <c r="M20" s="175"/>
      <c r="N20" s="175"/>
      <c r="O20" s="175"/>
      <c r="P20" s="175"/>
      <c r="Q20" s="176"/>
      <c r="R20" s="167"/>
    </row>
    <row r="21" spans="1:18" ht="24.95" customHeight="1" x14ac:dyDescent="0.2">
      <c r="A21" s="645" t="s">
        <v>740</v>
      </c>
      <c r="B21" s="658">
        <f>(75*12)/2756</f>
        <v>0.32656023222060959</v>
      </c>
      <c r="C21" s="658">
        <f>(75*12)/2080</f>
        <v>0.43269230769230771</v>
      </c>
      <c r="D21"/>
      <c r="E21"/>
      <c r="F21"/>
      <c r="G21" s="175"/>
      <c r="H21" s="175"/>
      <c r="I21" s="175"/>
      <c r="J21" s="175"/>
      <c r="K21" s="175"/>
      <c r="L21" s="175"/>
      <c r="M21" s="175"/>
      <c r="N21" s="175"/>
      <c r="O21" s="175"/>
      <c r="P21" s="175"/>
      <c r="Q21" s="176"/>
      <c r="R21" s="167"/>
    </row>
    <row r="22" spans="1:18" ht="24.95" customHeight="1" x14ac:dyDescent="0.2">
      <c r="A22" s="645" t="s">
        <v>741</v>
      </c>
      <c r="B22" s="658">
        <f>(100*12)/2756</f>
        <v>0.43541364296081275</v>
      </c>
      <c r="C22" s="658">
        <f>(100*12)/2080</f>
        <v>0.57692307692307687</v>
      </c>
      <c r="D22"/>
      <c r="E22"/>
      <c r="F22"/>
      <c r="G22" s="175"/>
      <c r="H22" s="175"/>
      <c r="I22" s="175"/>
      <c r="J22" s="175"/>
      <c r="K22" s="175"/>
      <c r="L22" s="175"/>
      <c r="M22" s="175"/>
      <c r="N22" s="175"/>
      <c r="O22" s="175"/>
      <c r="P22" s="175"/>
      <c r="Q22" s="176"/>
      <c r="R22" s="167"/>
    </row>
    <row r="23" spans="1:18" ht="24.95" customHeight="1" x14ac:dyDescent="0.2">
      <c r="A23" s="645" t="s">
        <v>655</v>
      </c>
      <c r="B23" s="658">
        <f>(100*12)/2756</f>
        <v>0.43541364296081275</v>
      </c>
      <c r="C23" s="658">
        <f>(100*12)/2080</f>
        <v>0.57692307692307687</v>
      </c>
      <c r="D23"/>
      <c r="E23"/>
      <c r="F23"/>
      <c r="G23" s="175"/>
      <c r="H23" s="175"/>
      <c r="I23" s="175"/>
      <c r="J23" s="175"/>
      <c r="K23" s="175"/>
      <c r="L23" s="175"/>
      <c r="M23" s="175"/>
      <c r="N23" s="175"/>
      <c r="O23" s="175"/>
      <c r="P23" s="175"/>
      <c r="Q23" s="176"/>
      <c r="R23" s="167"/>
    </row>
    <row r="24" spans="1:18" ht="20.100000000000001" customHeight="1" x14ac:dyDescent="0.2">
      <c r="A24" s="167"/>
      <c r="B24" s="175"/>
      <c r="C24"/>
      <c r="D24"/>
      <c r="E24"/>
      <c r="F24"/>
      <c r="G24" s="175"/>
      <c r="H24" s="175"/>
      <c r="I24" s="175"/>
      <c r="J24" s="175"/>
      <c r="K24" s="175"/>
      <c r="L24" s="175"/>
      <c r="M24" s="175"/>
      <c r="N24" s="175"/>
      <c r="O24" s="177"/>
      <c r="P24" s="175"/>
      <c r="Q24" s="176"/>
      <c r="R24" s="167"/>
    </row>
    <row r="25" spans="1:18" ht="20.100000000000001" customHeight="1" x14ac:dyDescent="0.2">
      <c r="A25" s="554"/>
      <c r="B25" s="175"/>
      <c r="C25"/>
      <c r="D25"/>
      <c r="E25"/>
      <c r="F25"/>
      <c r="G25" s="175"/>
      <c r="H25" s="175"/>
      <c r="I25" s="175"/>
      <c r="J25" s="175"/>
      <c r="K25" s="175"/>
      <c r="L25" s="175"/>
      <c r="M25" s="175"/>
      <c r="N25" s="175"/>
      <c r="O25" s="175"/>
      <c r="P25" s="175"/>
      <c r="Q25" s="176"/>
      <c r="R25" s="167"/>
    </row>
    <row r="26" spans="1:18" ht="20.100000000000001" customHeight="1" x14ac:dyDescent="0.2">
      <c r="A26" s="167"/>
      <c r="B26" s="175"/>
      <c r="C26" s="175"/>
      <c r="D26" s="175"/>
      <c r="E26" s="175"/>
      <c r="F26" s="175"/>
      <c r="G26" s="175"/>
      <c r="H26" s="175"/>
      <c r="I26" s="175"/>
      <c r="J26" s="175"/>
      <c r="K26" s="175"/>
      <c r="L26" s="175"/>
      <c r="M26" s="175"/>
      <c r="N26" s="175"/>
      <c r="O26" s="175"/>
      <c r="P26" s="175"/>
      <c r="Q26" s="176"/>
      <c r="R26" s="167"/>
    </row>
    <row r="27" spans="1:18" ht="20.100000000000001" customHeight="1" x14ac:dyDescent="0.2">
      <c r="A27" s="167"/>
      <c r="B27" s="175"/>
      <c r="C27" s="175"/>
      <c r="D27" s="175"/>
      <c r="E27" s="175"/>
      <c r="F27" s="175"/>
      <c r="G27" s="175"/>
      <c r="H27" s="175"/>
      <c r="I27" s="175"/>
      <c r="J27" s="175"/>
      <c r="K27" s="175"/>
      <c r="L27" s="175"/>
      <c r="M27" s="175"/>
      <c r="N27" s="175"/>
      <c r="O27" s="175"/>
      <c r="P27" s="175"/>
      <c r="Q27" s="176"/>
      <c r="R27" s="167"/>
    </row>
    <row r="28" spans="1:18" x14ac:dyDescent="0.2">
      <c r="A28" s="167"/>
      <c r="B28" s="175"/>
      <c r="C28" s="175"/>
      <c r="D28" s="167"/>
      <c r="E28" s="167"/>
      <c r="F28" s="167"/>
      <c r="G28" s="167"/>
      <c r="H28" s="167"/>
      <c r="I28" s="167"/>
      <c r="J28" s="167"/>
      <c r="K28" s="167"/>
      <c r="L28" s="167"/>
      <c r="M28" s="167"/>
      <c r="N28" s="167"/>
      <c r="O28" s="175"/>
      <c r="P28" s="175"/>
      <c r="Q28" s="176"/>
      <c r="R28" s="167"/>
    </row>
    <row r="29" spans="1:18" x14ac:dyDescent="0.2">
      <c r="A29" s="167"/>
      <c r="B29" s="175"/>
      <c r="C29" s="175"/>
      <c r="D29" s="167"/>
      <c r="E29" s="167"/>
      <c r="F29" s="167"/>
      <c r="G29" s="167"/>
      <c r="H29" s="167"/>
      <c r="I29" s="167"/>
      <c r="J29" s="167"/>
      <c r="K29" s="167"/>
      <c r="L29" s="167"/>
      <c r="M29" s="167"/>
      <c r="N29" s="167"/>
      <c r="O29" s="167"/>
      <c r="P29" s="167"/>
      <c r="Q29" s="167"/>
      <c r="R29" s="167"/>
    </row>
    <row r="30" spans="1:18" x14ac:dyDescent="0.2">
      <c r="A30" s="167"/>
      <c r="B30" s="167"/>
    </row>
  </sheetData>
  <phoneticPr fontId="32" type="noConversion"/>
  <printOptions horizontalCentered="1"/>
  <pageMargins left="1" right="0.75" top="1.5" bottom="1" header="1.25" footer="0.5"/>
  <pageSetup orientation="portrait" r:id="rId1"/>
  <headerFooter alignWithMargins="0">
    <oddHeader>&amp;C&amp;12CERTIFICATION PAY</oddHeader>
    <oddFooter>&amp;L&amp;F, 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6"/>
  <sheetViews>
    <sheetView workbookViewId="0"/>
  </sheetViews>
  <sheetFormatPr defaultRowHeight="18.75" customHeight="1" x14ac:dyDescent="0.2"/>
  <cols>
    <col min="1" max="1" width="35.28515625" style="14" bestFit="1" customWidth="1"/>
    <col min="2" max="2" width="11.28515625" style="96" hidden="1" customWidth="1"/>
    <col min="3" max="3" width="11.28515625" style="14" hidden="1" customWidth="1"/>
    <col min="4" max="6" width="11.28515625" style="96" hidden="1" customWidth="1"/>
    <col min="7" max="8" width="11.28515625" style="96" customWidth="1"/>
    <col min="9" max="16384" width="9.140625" style="96"/>
  </cols>
  <sheetData>
    <row r="1" spans="1:9" ht="18.75" customHeight="1" x14ac:dyDescent="0.3">
      <c r="A1" s="574" t="s">
        <v>528</v>
      </c>
      <c r="B1" s="273"/>
      <c r="C1" s="190"/>
      <c r="D1" s="190"/>
      <c r="E1" s="190"/>
      <c r="F1" s="190"/>
      <c r="G1" s="190"/>
      <c r="H1" s="190"/>
      <c r="I1" s="190"/>
    </row>
    <row r="2" spans="1:9" ht="18.75" customHeight="1" x14ac:dyDescent="0.3">
      <c r="A2" s="181"/>
      <c r="B2" s="257"/>
      <c r="C2" s="98"/>
      <c r="D2" s="98"/>
      <c r="E2" s="54"/>
      <c r="F2" s="54"/>
      <c r="G2" s="54"/>
      <c r="H2" s="54"/>
      <c r="I2" s="54"/>
    </row>
    <row r="3" spans="1:9" s="189" customFormat="1" ht="18.75" customHeight="1" x14ac:dyDescent="0.2">
      <c r="A3" s="188" t="s">
        <v>124</v>
      </c>
      <c r="B3" s="191">
        <v>2010</v>
      </c>
      <c r="C3" s="404">
        <v>2013</v>
      </c>
      <c r="D3" s="478">
        <v>2014</v>
      </c>
      <c r="E3" s="478">
        <v>2015</v>
      </c>
      <c r="F3" s="478">
        <v>2016</v>
      </c>
      <c r="G3" s="478">
        <v>2017</v>
      </c>
      <c r="H3" s="478">
        <v>2018</v>
      </c>
      <c r="I3" s="478">
        <v>2019</v>
      </c>
    </row>
    <row r="4" spans="1:9" s="189" customFormat="1" ht="18.75" customHeight="1" x14ac:dyDescent="0.3">
      <c r="A4" s="34" t="s">
        <v>182</v>
      </c>
      <c r="B4" s="108">
        <v>10720</v>
      </c>
      <c r="C4" s="503">
        <v>10944.47</v>
      </c>
      <c r="D4" s="550">
        <f>2759.81+(2831*3)</f>
        <v>11252.81</v>
      </c>
      <c r="E4" s="550">
        <f>(2661.13*1)+(3201.95*3)</f>
        <v>12266.98</v>
      </c>
      <c r="F4" s="663">
        <v>12800</v>
      </c>
      <c r="G4" s="663">
        <f>3250*4</f>
        <v>13000</v>
      </c>
      <c r="H4" s="663">
        <v>14240</v>
      </c>
      <c r="I4" s="663">
        <v>17000</v>
      </c>
    </row>
    <row r="5" spans="1:9" s="189" customFormat="1" ht="18.75" customHeight="1" x14ac:dyDescent="0.3">
      <c r="A5" s="34" t="s">
        <v>256</v>
      </c>
      <c r="B5" s="108">
        <v>5570</v>
      </c>
      <c r="C5" s="503">
        <v>6000</v>
      </c>
      <c r="D5" s="503">
        <f>5900*1.19</f>
        <v>7021</v>
      </c>
      <c r="E5" s="503">
        <f>5874*1.27</f>
        <v>7459.9800000000005</v>
      </c>
      <c r="F5" s="664">
        <f>5874*1.34</f>
        <v>7871.1600000000008</v>
      </c>
      <c r="G5" s="664">
        <f>5874*1.44</f>
        <v>8458.56</v>
      </c>
      <c r="H5" s="664">
        <f>5970*1.58</f>
        <v>9432.6</v>
      </c>
      <c r="I5" s="664">
        <f>5970*1.59</f>
        <v>9492.3000000000011</v>
      </c>
    </row>
    <row r="6" spans="1:9" ht="18.75" customHeight="1" x14ac:dyDescent="0.3">
      <c r="A6" s="34" t="s">
        <v>38</v>
      </c>
      <c r="B6" s="42">
        <v>200</v>
      </c>
      <c r="C6" s="62">
        <v>200</v>
      </c>
      <c r="D6" s="62">
        <v>200</v>
      </c>
      <c r="E6" s="62">
        <v>200</v>
      </c>
      <c r="F6" s="665">
        <v>200</v>
      </c>
      <c r="G6" s="665">
        <v>200</v>
      </c>
      <c r="H6" s="665">
        <v>200</v>
      </c>
      <c r="I6" s="665">
        <v>200</v>
      </c>
    </row>
    <row r="7" spans="1:9" ht="18.75" customHeight="1" x14ac:dyDescent="0.3">
      <c r="A7" s="286"/>
      <c r="B7" s="42"/>
      <c r="C7" s="62"/>
      <c r="D7" s="62"/>
      <c r="E7" s="62">
        <v>915.48</v>
      </c>
      <c r="F7" s="665"/>
      <c r="G7" s="666"/>
      <c r="H7" s="666"/>
      <c r="I7" s="666"/>
    </row>
    <row r="8" spans="1:9" ht="18.75" customHeight="1" x14ac:dyDescent="0.3">
      <c r="A8" s="594"/>
      <c r="B8" s="42">
        <v>-2890</v>
      </c>
      <c r="C8" s="62"/>
      <c r="D8" s="62"/>
      <c r="E8" s="62"/>
      <c r="F8" s="665"/>
      <c r="G8" s="666"/>
      <c r="H8" s="666"/>
      <c r="I8" s="666"/>
    </row>
    <row r="9" spans="1:9" ht="18.75" customHeight="1" x14ac:dyDescent="0.3">
      <c r="A9" s="68"/>
      <c r="B9" s="42"/>
      <c r="C9" s="62"/>
      <c r="D9" s="62"/>
      <c r="E9" s="62"/>
      <c r="F9" s="665"/>
      <c r="G9" s="666"/>
      <c r="H9" s="666"/>
      <c r="I9" s="666"/>
    </row>
    <row r="10" spans="1:9" ht="18.75" customHeight="1" x14ac:dyDescent="0.3">
      <c r="A10" s="68"/>
      <c r="B10" s="42"/>
      <c r="C10" s="62"/>
      <c r="D10" s="62"/>
      <c r="E10" s="62"/>
      <c r="F10" s="665"/>
      <c r="G10" s="666"/>
      <c r="H10" s="666"/>
      <c r="I10" s="666"/>
    </row>
    <row r="11" spans="1:9" ht="18.75" customHeight="1" x14ac:dyDescent="0.3">
      <c r="A11" s="442"/>
      <c r="B11" s="122">
        <v>-62.93</v>
      </c>
      <c r="C11" s="452"/>
      <c r="D11" s="452"/>
      <c r="E11" s="452"/>
      <c r="F11" s="667"/>
      <c r="G11" s="668"/>
      <c r="H11" s="668"/>
      <c r="I11" s="668"/>
    </row>
    <row r="12" spans="1:9" ht="18.75" customHeight="1" x14ac:dyDescent="0.3">
      <c r="A12" s="440" t="s">
        <v>126</v>
      </c>
      <c r="B12" s="441">
        <f t="shared" ref="B12:H12" si="0">SUM(B4:B11)</f>
        <v>13537.07</v>
      </c>
      <c r="C12" s="441">
        <f t="shared" si="0"/>
        <v>17144.47</v>
      </c>
      <c r="D12" s="441">
        <f t="shared" si="0"/>
        <v>18473.809999999998</v>
      </c>
      <c r="E12" s="477">
        <f t="shared" si="0"/>
        <v>20842.439999999999</v>
      </c>
      <c r="F12" s="669">
        <f t="shared" si="0"/>
        <v>20871.16</v>
      </c>
      <c r="G12" s="670">
        <f t="shared" ref="G12" si="1">SUM(G4:G11)</f>
        <v>21658.559999999998</v>
      </c>
      <c r="H12" s="670">
        <f t="shared" si="0"/>
        <v>23872.6</v>
      </c>
      <c r="I12" s="670">
        <f t="shared" ref="I12" si="2">SUM(I4:I11)</f>
        <v>26692.300000000003</v>
      </c>
    </row>
    <row r="13" spans="1:9" ht="16.5" customHeight="1" x14ac:dyDescent="0.3">
      <c r="A13" s="97"/>
      <c r="B13" s="27"/>
      <c r="C13" s="97"/>
      <c r="D13" s="27"/>
      <c r="E13" s="27"/>
      <c r="F13" s="27"/>
      <c r="G13" s="27"/>
      <c r="H13" s="27"/>
    </row>
    <row r="14" spans="1:9" ht="16.5" customHeight="1" x14ac:dyDescent="0.3">
      <c r="A14" s="17"/>
      <c r="B14" s="27"/>
      <c r="C14" s="97"/>
      <c r="D14" s="27"/>
      <c r="E14" s="27"/>
      <c r="F14" s="27"/>
    </row>
    <row r="15" spans="1:9" ht="16.5" customHeight="1" x14ac:dyDescent="0.3">
      <c r="A15" s="236"/>
      <c r="B15" s="137"/>
      <c r="C15" s="135"/>
      <c r="D15" s="137"/>
      <c r="E15" s="137"/>
      <c r="F15" s="137"/>
      <c r="G15" s="493"/>
      <c r="H15" s="493"/>
    </row>
    <row r="16" spans="1:9" ht="16.5" customHeight="1" x14ac:dyDescent="0.3">
      <c r="A16" s="236"/>
      <c r="B16" s="137"/>
      <c r="C16" s="135"/>
      <c r="D16" s="137"/>
      <c r="E16" s="137"/>
      <c r="F16" s="137"/>
      <c r="G16" s="493"/>
      <c r="H16" s="493"/>
    </row>
    <row r="17" spans="1:8" ht="16.5" customHeight="1" x14ac:dyDescent="0.3">
      <c r="A17" s="236"/>
      <c r="B17" s="137"/>
      <c r="C17" s="135"/>
      <c r="D17" s="137"/>
      <c r="E17" s="137"/>
      <c r="F17" s="137"/>
      <c r="G17" s="493"/>
      <c r="H17" s="493"/>
    </row>
    <row r="18" spans="1:8" ht="16.5" customHeight="1" x14ac:dyDescent="0.3">
      <c r="A18" s="236"/>
      <c r="B18" s="137"/>
      <c r="C18" s="135"/>
      <c r="D18" s="137"/>
      <c r="E18" s="137"/>
      <c r="F18" s="137"/>
      <c r="G18" s="493"/>
      <c r="H18" s="493"/>
    </row>
    <row r="19" spans="1:8" ht="16.5" customHeight="1" x14ac:dyDescent="0.3">
      <c r="A19" s="236"/>
      <c r="B19" s="137"/>
      <c r="C19" s="135"/>
      <c r="D19" s="137"/>
      <c r="E19" s="137"/>
      <c r="F19" s="137"/>
      <c r="G19" s="493"/>
      <c r="H19" s="493"/>
    </row>
    <row r="20" spans="1:8" ht="16.5" customHeight="1" x14ac:dyDescent="0.3">
      <c r="A20" s="236"/>
      <c r="B20" s="137"/>
      <c r="C20" s="135"/>
      <c r="D20" s="137"/>
      <c r="E20" s="137"/>
      <c r="F20" s="137"/>
      <c r="G20" s="493"/>
      <c r="H20" s="493"/>
    </row>
    <row r="21" spans="1:8" ht="16.5" customHeight="1" x14ac:dyDescent="0.3">
      <c r="A21" s="17"/>
      <c r="B21" s="27"/>
      <c r="C21" s="97"/>
      <c r="D21" s="27"/>
      <c r="E21" s="27"/>
      <c r="F21" s="27"/>
    </row>
    <row r="22" spans="1:8" ht="16.5" customHeight="1" x14ac:dyDescent="0.3">
      <c r="A22" s="17"/>
      <c r="B22" s="27"/>
      <c r="C22" s="97"/>
      <c r="D22" s="27"/>
      <c r="E22" s="27"/>
      <c r="F22" s="27"/>
    </row>
    <row r="23" spans="1:8" ht="16.5" customHeight="1" x14ac:dyDescent="0.3">
      <c r="A23" s="17"/>
      <c r="B23" s="27"/>
      <c r="C23" s="97"/>
      <c r="D23" s="27"/>
      <c r="E23" s="27"/>
      <c r="F23" s="27"/>
    </row>
    <row r="24" spans="1:8" ht="16.5" customHeight="1" x14ac:dyDescent="0.2">
      <c r="A24" s="492"/>
      <c r="B24" s="493"/>
      <c r="C24" s="494"/>
    </row>
    <row r="25" spans="1:8" ht="16.5" customHeight="1" x14ac:dyDescent="0.2">
      <c r="A25" s="492"/>
      <c r="B25" s="493"/>
      <c r="C25" s="494"/>
    </row>
    <row r="26" spans="1:8" ht="16.5" customHeight="1" x14ac:dyDescent="0.2">
      <c r="A26" s="200"/>
    </row>
    <row r="27" spans="1:8" ht="16.5" customHeight="1" x14ac:dyDescent="0.2">
      <c r="A27" s="200"/>
    </row>
    <row r="28" spans="1:8" ht="16.5" customHeight="1" x14ac:dyDescent="0.3">
      <c r="A28" s="17"/>
      <c r="B28" s="27"/>
      <c r="C28" s="97"/>
      <c r="D28" s="27"/>
      <c r="E28" s="27"/>
      <c r="F28" s="27"/>
    </row>
    <row r="29" spans="1:8" ht="16.5" customHeight="1" x14ac:dyDescent="0.3">
      <c r="A29" s="17"/>
      <c r="B29" s="27"/>
      <c r="C29" s="97"/>
      <c r="D29" s="27"/>
      <c r="E29" s="27"/>
      <c r="F29" s="27"/>
    </row>
    <row r="30" spans="1:8" ht="18.75" customHeight="1" x14ac:dyDescent="0.3">
      <c r="A30" s="185"/>
      <c r="B30" s="111"/>
      <c r="C30" s="274"/>
      <c r="D30" s="27"/>
      <c r="E30" s="27"/>
      <c r="F30" s="27"/>
    </row>
    <row r="31" spans="1:8" ht="18.75" customHeight="1" x14ac:dyDescent="0.3">
      <c r="A31" s="185"/>
      <c r="B31" s="27"/>
      <c r="C31" s="97"/>
      <c r="D31" s="27"/>
      <c r="E31" s="27"/>
      <c r="F31" s="27"/>
    </row>
    <row r="32" spans="1:8" ht="18.75" customHeight="1" x14ac:dyDescent="0.3">
      <c r="A32" s="185"/>
      <c r="B32" s="27"/>
      <c r="C32" s="97"/>
      <c r="D32" s="27"/>
      <c r="E32" s="27"/>
      <c r="F32" s="27"/>
    </row>
    <row r="33" spans="1:6" ht="18.75" customHeight="1" x14ac:dyDescent="0.3">
      <c r="A33" s="185"/>
      <c r="B33" s="27"/>
      <c r="C33" s="97"/>
      <c r="D33" s="27"/>
      <c r="E33" s="27"/>
      <c r="F33" s="27"/>
    </row>
    <row r="34" spans="1:6" ht="18.75" customHeight="1" x14ac:dyDescent="0.2">
      <c r="A34" s="187"/>
    </row>
    <row r="35" spans="1:6" ht="18.75" customHeight="1" x14ac:dyDescent="0.2">
      <c r="A35" s="96"/>
      <c r="C35" s="96"/>
    </row>
    <row r="36" spans="1:6" ht="18.75" customHeight="1" x14ac:dyDescent="0.2">
      <c r="A36" s="96"/>
      <c r="C36" s="96"/>
    </row>
  </sheetData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9600B-F469-4A29-984E-FF43275F4601}">
  <sheetPr>
    <pageSetUpPr fitToPage="1"/>
  </sheetPr>
  <dimension ref="A1:I34"/>
  <sheetViews>
    <sheetView workbookViewId="0"/>
  </sheetViews>
  <sheetFormatPr defaultRowHeight="15" x14ac:dyDescent="0.25"/>
  <cols>
    <col min="1" max="1" width="16.5703125" style="1000" customWidth="1"/>
    <col min="2" max="2" width="19.28515625" style="1001" customWidth="1"/>
    <col min="3" max="3" width="14.42578125" style="1001" customWidth="1"/>
    <col min="4" max="4" width="15" style="1001" customWidth="1"/>
    <col min="5" max="5" width="19.140625" style="1001" customWidth="1"/>
    <col min="6" max="6" width="12.28515625" style="1001" customWidth="1"/>
    <col min="7" max="7" width="18.5703125" style="1001" customWidth="1"/>
    <col min="8" max="8" width="9.140625" style="1000"/>
    <col min="9" max="9" width="14.85546875" style="1000" bestFit="1" customWidth="1"/>
    <col min="10" max="16384" width="9.140625" style="1000"/>
  </cols>
  <sheetData>
    <row r="1" spans="1:9" x14ac:dyDescent="0.25">
      <c r="A1" s="1010"/>
      <c r="B1" s="1009" t="s">
        <v>849</v>
      </c>
      <c r="C1" s="1009" t="s">
        <v>848</v>
      </c>
      <c r="D1" s="1009" t="s">
        <v>847</v>
      </c>
      <c r="E1" s="1009" t="s">
        <v>846</v>
      </c>
      <c r="F1" s="1009" t="s">
        <v>845</v>
      </c>
      <c r="G1" s="1009" t="s">
        <v>844</v>
      </c>
      <c r="H1" s="1009" t="s">
        <v>113</v>
      </c>
      <c r="I1" s="1009" t="s">
        <v>850</v>
      </c>
    </row>
    <row r="2" spans="1:9" ht="15.75" x14ac:dyDescent="0.25">
      <c r="A2" s="1008"/>
      <c r="B2" s="1002"/>
      <c r="C2" s="1002"/>
      <c r="D2" s="1002"/>
      <c r="E2" s="1002"/>
      <c r="F2" s="1002"/>
      <c r="G2" s="1002"/>
      <c r="H2" s="1002"/>
      <c r="I2" s="1002"/>
    </row>
    <row r="3" spans="1:9" ht="15.75" x14ac:dyDescent="0.25">
      <c r="A3" s="1012" t="s">
        <v>843</v>
      </c>
      <c r="B3" s="1013" t="s">
        <v>812</v>
      </c>
      <c r="C3" s="1013"/>
      <c r="D3" s="1013" t="s">
        <v>812</v>
      </c>
      <c r="E3" s="1013"/>
      <c r="F3" s="1013"/>
      <c r="G3" s="1013"/>
      <c r="H3" s="1013">
        <f>COUNTIF(B3:G3,"x")</f>
        <v>2</v>
      </c>
      <c r="I3" s="1013">
        <v>3</v>
      </c>
    </row>
    <row r="4" spans="1:9" ht="15.75" x14ac:dyDescent="0.25">
      <c r="A4" s="1005" t="s">
        <v>842</v>
      </c>
      <c r="B4" s="1002" t="s">
        <v>812</v>
      </c>
      <c r="C4" s="1002" t="s">
        <v>812</v>
      </c>
      <c r="D4" s="1004" t="s">
        <v>812</v>
      </c>
      <c r="E4" s="1006" t="s">
        <v>812</v>
      </c>
      <c r="F4" s="1002" t="s">
        <v>812</v>
      </c>
      <c r="G4" s="1002" t="s">
        <v>812</v>
      </c>
      <c r="H4" s="1011">
        <f t="shared" ref="H4:H34" si="0">COUNTIF(B4:G4,"x")</f>
        <v>6</v>
      </c>
      <c r="I4" s="1002">
        <v>1</v>
      </c>
    </row>
    <row r="5" spans="1:9" ht="15.75" x14ac:dyDescent="0.25">
      <c r="A5" s="1012" t="s">
        <v>841</v>
      </c>
      <c r="B5" s="1013" t="s">
        <v>812</v>
      </c>
      <c r="C5" s="1013"/>
      <c r="D5" s="1013" t="s">
        <v>812</v>
      </c>
      <c r="E5" s="1013"/>
      <c r="F5" s="1013"/>
      <c r="G5" s="1013"/>
      <c r="H5" s="1013">
        <f t="shared" si="0"/>
        <v>2</v>
      </c>
      <c r="I5" s="1013">
        <v>1</v>
      </c>
    </row>
    <row r="6" spans="1:9" ht="15.75" x14ac:dyDescent="0.25">
      <c r="A6" s="1005" t="s">
        <v>840</v>
      </c>
      <c r="B6" s="1004" t="s">
        <v>812</v>
      </c>
      <c r="C6" s="1002"/>
      <c r="D6" s="1002"/>
      <c r="E6" s="1002"/>
      <c r="F6" s="1002"/>
      <c r="G6" s="1002"/>
      <c r="H6" s="1011">
        <f t="shared" si="0"/>
        <v>1</v>
      </c>
      <c r="I6" s="1002"/>
    </row>
    <row r="7" spans="1:9" ht="15.75" x14ac:dyDescent="0.25">
      <c r="A7" s="1012" t="s">
        <v>839</v>
      </c>
      <c r="B7" s="1013" t="s">
        <v>812</v>
      </c>
      <c r="C7" s="1013"/>
      <c r="D7" s="1013" t="s">
        <v>812</v>
      </c>
      <c r="E7" s="1013"/>
      <c r="F7" s="1013"/>
      <c r="G7" s="1013"/>
      <c r="H7" s="1013">
        <f t="shared" si="0"/>
        <v>2</v>
      </c>
      <c r="I7" s="1013">
        <v>1</v>
      </c>
    </row>
    <row r="8" spans="1:9" ht="15.75" x14ac:dyDescent="0.25">
      <c r="A8" s="1005" t="s">
        <v>838</v>
      </c>
      <c r="B8" s="1002" t="s">
        <v>812</v>
      </c>
      <c r="C8" s="1002"/>
      <c r="D8" s="1006" t="s">
        <v>812</v>
      </c>
      <c r="E8" s="1002"/>
      <c r="F8" s="1006" t="s">
        <v>812</v>
      </c>
      <c r="G8" s="1002"/>
      <c r="H8" s="1011">
        <f t="shared" si="0"/>
        <v>3</v>
      </c>
      <c r="I8" s="1002">
        <v>1</v>
      </c>
    </row>
    <row r="9" spans="1:9" ht="15.75" x14ac:dyDescent="0.25">
      <c r="A9" s="1012" t="s">
        <v>837</v>
      </c>
      <c r="B9" s="1014" t="s">
        <v>812</v>
      </c>
      <c r="C9" s="1013"/>
      <c r="D9" s="1013"/>
      <c r="E9" s="1013"/>
      <c r="F9" s="1013"/>
      <c r="G9" s="1013"/>
      <c r="H9" s="1013">
        <f t="shared" si="0"/>
        <v>1</v>
      </c>
      <c r="I9" s="1013"/>
    </row>
    <row r="10" spans="1:9" ht="15.75" x14ac:dyDescent="0.25">
      <c r="A10" s="1005" t="s">
        <v>836</v>
      </c>
      <c r="B10" s="1002"/>
      <c r="C10" s="1002"/>
      <c r="D10" s="1002"/>
      <c r="E10" s="1002"/>
      <c r="F10" s="1002"/>
      <c r="G10" s="1002"/>
      <c r="H10" s="1011">
        <f t="shared" si="0"/>
        <v>0</v>
      </c>
      <c r="I10" s="1002"/>
    </row>
    <row r="11" spans="1:9" ht="15.75" x14ac:dyDescent="0.25">
      <c r="A11" s="1012" t="s">
        <v>835</v>
      </c>
      <c r="B11" s="1013" t="s">
        <v>812</v>
      </c>
      <c r="C11" s="1013"/>
      <c r="D11" s="1013" t="s">
        <v>812</v>
      </c>
      <c r="E11" s="1013"/>
      <c r="F11" s="1013" t="s">
        <v>812</v>
      </c>
      <c r="G11" s="1013" t="s">
        <v>812</v>
      </c>
      <c r="H11" s="1013">
        <f t="shared" si="0"/>
        <v>4</v>
      </c>
      <c r="I11" s="1013">
        <v>1</v>
      </c>
    </row>
    <row r="12" spans="1:9" ht="15.75" x14ac:dyDescent="0.25">
      <c r="A12" s="1005" t="s">
        <v>834</v>
      </c>
      <c r="B12" s="1002" t="s">
        <v>812</v>
      </c>
      <c r="C12" s="1002"/>
      <c r="D12" s="1002"/>
      <c r="E12" s="1002"/>
      <c r="F12" s="1002"/>
      <c r="G12" s="1002" t="s">
        <v>812</v>
      </c>
      <c r="H12" s="1011">
        <f t="shared" si="0"/>
        <v>2</v>
      </c>
      <c r="I12" s="1002">
        <v>1</v>
      </c>
    </row>
    <row r="13" spans="1:9" ht="15.75" x14ac:dyDescent="0.25">
      <c r="A13" s="1012" t="s">
        <v>833</v>
      </c>
      <c r="B13" s="1013" t="s">
        <v>812</v>
      </c>
      <c r="C13" s="1013"/>
      <c r="D13" s="1013" t="s">
        <v>812</v>
      </c>
      <c r="E13" s="1013"/>
      <c r="F13" s="1013"/>
      <c r="G13" s="1013" t="s">
        <v>812</v>
      </c>
      <c r="H13" s="1013">
        <f t="shared" si="0"/>
        <v>3</v>
      </c>
      <c r="I13" s="1013"/>
    </row>
    <row r="14" spans="1:9" ht="15.75" x14ac:dyDescent="0.25">
      <c r="A14" s="1005" t="s">
        <v>832</v>
      </c>
      <c r="B14" s="1002" t="s">
        <v>812</v>
      </c>
      <c r="C14" s="1002" t="s">
        <v>812</v>
      </c>
      <c r="D14" s="1002" t="s">
        <v>812</v>
      </c>
      <c r="E14" s="1002" t="s">
        <v>812</v>
      </c>
      <c r="F14" s="1002" t="s">
        <v>812</v>
      </c>
      <c r="G14" s="1002" t="s">
        <v>812</v>
      </c>
      <c r="H14" s="1011">
        <f t="shared" si="0"/>
        <v>6</v>
      </c>
      <c r="I14" s="1002">
        <v>1</v>
      </c>
    </row>
    <row r="15" spans="1:9" ht="15.75" x14ac:dyDescent="0.25">
      <c r="A15" s="1012" t="s">
        <v>831</v>
      </c>
      <c r="B15" s="1013" t="s">
        <v>812</v>
      </c>
      <c r="C15" s="1013"/>
      <c r="D15" s="1013" t="s">
        <v>812</v>
      </c>
      <c r="E15" s="1013"/>
      <c r="F15" s="1013"/>
      <c r="G15" s="1013"/>
      <c r="H15" s="1013">
        <f t="shared" si="0"/>
        <v>2</v>
      </c>
      <c r="I15" s="1013">
        <v>3</v>
      </c>
    </row>
    <row r="16" spans="1:9" ht="15.75" x14ac:dyDescent="0.25">
      <c r="A16" s="1003" t="s">
        <v>830</v>
      </c>
      <c r="B16" s="1007" t="s">
        <v>812</v>
      </c>
      <c r="C16" s="1002"/>
      <c r="D16" s="1006" t="s">
        <v>812</v>
      </c>
      <c r="E16" s="1002"/>
      <c r="F16" s="1002"/>
      <c r="G16" s="1007" t="s">
        <v>812</v>
      </c>
      <c r="H16" s="1011">
        <f t="shared" si="0"/>
        <v>3</v>
      </c>
      <c r="I16" s="1007">
        <v>2</v>
      </c>
    </row>
    <row r="17" spans="1:9" ht="15.75" x14ac:dyDescent="0.25">
      <c r="A17" s="1012" t="s">
        <v>829</v>
      </c>
      <c r="B17" s="1013" t="s">
        <v>812</v>
      </c>
      <c r="C17" s="1013"/>
      <c r="D17" s="1013"/>
      <c r="E17" s="1013" t="s">
        <v>812</v>
      </c>
      <c r="F17" s="1013"/>
      <c r="G17" s="1013"/>
      <c r="H17" s="1013">
        <f t="shared" si="0"/>
        <v>2</v>
      </c>
      <c r="I17" s="1013"/>
    </row>
    <row r="18" spans="1:9" ht="15.75" x14ac:dyDescent="0.25">
      <c r="A18" s="1003" t="s">
        <v>828</v>
      </c>
      <c r="B18" s="1006" t="s">
        <v>812</v>
      </c>
      <c r="C18" s="1002"/>
      <c r="D18" s="1002"/>
      <c r="E18" s="1002"/>
      <c r="F18" s="1002"/>
      <c r="G18" s="1002"/>
      <c r="H18" s="1011">
        <f t="shared" si="0"/>
        <v>1</v>
      </c>
      <c r="I18" s="1002"/>
    </row>
    <row r="19" spans="1:9" ht="15.75" x14ac:dyDescent="0.25">
      <c r="A19" s="1012" t="s">
        <v>827</v>
      </c>
      <c r="B19" s="1013" t="s">
        <v>812</v>
      </c>
      <c r="C19" s="1013" t="s">
        <v>812</v>
      </c>
      <c r="D19" s="1013" t="s">
        <v>812</v>
      </c>
      <c r="E19" s="1013"/>
      <c r="F19" s="1013"/>
      <c r="G19" s="1013"/>
      <c r="H19" s="1013">
        <f t="shared" si="0"/>
        <v>3</v>
      </c>
      <c r="I19" s="1013"/>
    </row>
    <row r="20" spans="1:9" ht="15.75" x14ac:dyDescent="0.25">
      <c r="A20" s="1003" t="s">
        <v>826</v>
      </c>
      <c r="B20" s="1002" t="s">
        <v>812</v>
      </c>
      <c r="C20" s="1002"/>
      <c r="D20" s="1002"/>
      <c r="E20" s="1002"/>
      <c r="F20" s="1002"/>
      <c r="G20" s="1002"/>
      <c r="H20" s="1011">
        <f t="shared" si="0"/>
        <v>1</v>
      </c>
      <c r="I20" s="1002">
        <v>1</v>
      </c>
    </row>
    <row r="21" spans="1:9" ht="15.75" x14ac:dyDescent="0.25">
      <c r="A21" s="1012" t="s">
        <v>825</v>
      </c>
      <c r="B21" s="1013" t="s">
        <v>812</v>
      </c>
      <c r="C21" s="1013"/>
      <c r="D21" s="1014" t="s">
        <v>812</v>
      </c>
      <c r="E21" s="1013"/>
      <c r="F21" s="1013"/>
      <c r="G21" s="1014" t="s">
        <v>812</v>
      </c>
      <c r="H21" s="1013">
        <f t="shared" si="0"/>
        <v>3</v>
      </c>
      <c r="I21" s="1014">
        <v>1</v>
      </c>
    </row>
    <row r="22" spans="1:9" ht="15.75" x14ac:dyDescent="0.25">
      <c r="A22" s="1005" t="s">
        <v>824</v>
      </c>
      <c r="B22" s="1002" t="s">
        <v>812</v>
      </c>
      <c r="C22" s="1002" t="s">
        <v>812</v>
      </c>
      <c r="D22" s="1002" t="s">
        <v>812</v>
      </c>
      <c r="E22" s="1002"/>
      <c r="F22" s="1002" t="s">
        <v>812</v>
      </c>
      <c r="G22" s="1002"/>
      <c r="H22" s="1011">
        <f t="shared" si="0"/>
        <v>4</v>
      </c>
      <c r="I22" s="1002">
        <v>1</v>
      </c>
    </row>
    <row r="23" spans="1:9" ht="15.75" x14ac:dyDescent="0.25">
      <c r="A23" s="1012" t="s">
        <v>823</v>
      </c>
      <c r="B23" s="1013" t="s">
        <v>812</v>
      </c>
      <c r="C23" s="1013"/>
      <c r="D23" s="1013"/>
      <c r="E23" s="1013"/>
      <c r="F23" s="1013"/>
      <c r="G23" s="1013"/>
      <c r="H23" s="1013">
        <f t="shared" si="0"/>
        <v>1</v>
      </c>
      <c r="I23" s="1013">
        <v>2</v>
      </c>
    </row>
    <row r="24" spans="1:9" ht="15.75" x14ac:dyDescent="0.25">
      <c r="A24" s="1003" t="s">
        <v>822</v>
      </c>
      <c r="B24" s="1002" t="s">
        <v>812</v>
      </c>
      <c r="C24" s="1002" t="s">
        <v>812</v>
      </c>
      <c r="D24" s="1002" t="s">
        <v>812</v>
      </c>
      <c r="E24" s="1002" t="s">
        <v>812</v>
      </c>
      <c r="F24" s="1002" t="s">
        <v>812</v>
      </c>
      <c r="G24" s="1002" t="s">
        <v>812</v>
      </c>
      <c r="H24" s="1011">
        <f t="shared" si="0"/>
        <v>6</v>
      </c>
      <c r="I24" s="1002">
        <v>2</v>
      </c>
    </row>
    <row r="25" spans="1:9" ht="15.75" x14ac:dyDescent="0.25">
      <c r="A25" s="1012" t="s">
        <v>821</v>
      </c>
      <c r="B25" s="1013" t="s">
        <v>812</v>
      </c>
      <c r="C25" s="1013"/>
      <c r="D25" s="1013"/>
      <c r="E25" s="1013"/>
      <c r="F25" s="1013"/>
      <c r="G25" s="1013"/>
      <c r="H25" s="1013">
        <f t="shared" si="0"/>
        <v>1</v>
      </c>
      <c r="I25" s="1013"/>
    </row>
    <row r="26" spans="1:9" ht="15.75" x14ac:dyDescent="0.25">
      <c r="A26" s="1005" t="s">
        <v>820</v>
      </c>
      <c r="B26" s="1002" t="s">
        <v>812</v>
      </c>
      <c r="C26" s="1002"/>
      <c r="D26" s="1002"/>
      <c r="E26" s="1002"/>
      <c r="F26" s="1002"/>
      <c r="G26" s="1002"/>
      <c r="H26" s="1011">
        <f t="shared" si="0"/>
        <v>1</v>
      </c>
      <c r="I26" s="1002"/>
    </row>
    <row r="27" spans="1:9" ht="15.75" x14ac:dyDescent="0.25">
      <c r="A27" s="1012" t="s">
        <v>819</v>
      </c>
      <c r="B27" s="1013" t="s">
        <v>812</v>
      </c>
      <c r="C27" s="1013"/>
      <c r="D27" s="1013" t="s">
        <v>812</v>
      </c>
      <c r="E27" s="1013"/>
      <c r="F27" s="1013" t="s">
        <v>812</v>
      </c>
      <c r="G27" s="1013"/>
      <c r="H27" s="1013">
        <f t="shared" si="0"/>
        <v>3</v>
      </c>
      <c r="I27" s="1013">
        <v>1</v>
      </c>
    </row>
    <row r="28" spans="1:9" ht="15.75" x14ac:dyDescent="0.25">
      <c r="A28" s="1005" t="s">
        <v>818</v>
      </c>
      <c r="B28" s="1002" t="s">
        <v>812</v>
      </c>
      <c r="C28" s="1002"/>
      <c r="D28" s="1006" t="s">
        <v>812</v>
      </c>
      <c r="E28" s="1002"/>
      <c r="F28" s="1002"/>
      <c r="G28" s="1002" t="s">
        <v>812</v>
      </c>
      <c r="H28" s="1011">
        <f t="shared" si="0"/>
        <v>3</v>
      </c>
      <c r="I28" s="1002"/>
    </row>
    <row r="29" spans="1:9" ht="15.75" x14ac:dyDescent="0.25">
      <c r="A29" s="1012" t="s">
        <v>817</v>
      </c>
      <c r="B29" s="1013" t="s">
        <v>812</v>
      </c>
      <c r="C29" s="1013"/>
      <c r="D29" s="1013"/>
      <c r="E29" s="1013"/>
      <c r="F29" s="1013"/>
      <c r="G29" s="1013"/>
      <c r="H29" s="1013">
        <f t="shared" si="0"/>
        <v>1</v>
      </c>
      <c r="I29" s="1013">
        <v>1</v>
      </c>
    </row>
    <row r="30" spans="1:9" ht="15.75" x14ac:dyDescent="0.25">
      <c r="A30" s="1005" t="s">
        <v>816</v>
      </c>
      <c r="B30" s="1002"/>
      <c r="C30" s="1002"/>
      <c r="D30" s="1002"/>
      <c r="E30" s="1002"/>
      <c r="F30" s="1002"/>
      <c r="G30" s="1002"/>
      <c r="H30" s="1011">
        <f t="shared" si="0"/>
        <v>0</v>
      </c>
      <c r="I30" s="1002">
        <v>1</v>
      </c>
    </row>
    <row r="31" spans="1:9" ht="15.75" x14ac:dyDescent="0.25">
      <c r="A31" s="1012" t="s">
        <v>815</v>
      </c>
      <c r="B31" s="1013" t="s">
        <v>812</v>
      </c>
      <c r="C31" s="1013" t="s">
        <v>812</v>
      </c>
      <c r="D31" s="1013" t="s">
        <v>812</v>
      </c>
      <c r="E31" s="1013"/>
      <c r="F31" s="1013"/>
      <c r="G31" s="1013" t="s">
        <v>812</v>
      </c>
      <c r="H31" s="1013">
        <f t="shared" si="0"/>
        <v>4</v>
      </c>
      <c r="I31" s="1013"/>
    </row>
    <row r="32" spans="1:9" ht="15.75" x14ac:dyDescent="0.25">
      <c r="A32" s="1003" t="s">
        <v>814</v>
      </c>
      <c r="B32" s="1004" t="s">
        <v>812</v>
      </c>
      <c r="C32" s="1004" t="s">
        <v>812</v>
      </c>
      <c r="D32" s="1002" t="s">
        <v>812</v>
      </c>
      <c r="E32" s="1002"/>
      <c r="F32" s="1002"/>
      <c r="G32" s="1002"/>
      <c r="H32" s="1011">
        <f t="shared" si="0"/>
        <v>3</v>
      </c>
      <c r="I32" s="1002">
        <v>1</v>
      </c>
    </row>
    <row r="33" spans="1:9" ht="15.75" x14ac:dyDescent="0.25">
      <c r="A33" s="1012" t="s">
        <v>813</v>
      </c>
      <c r="B33" s="1013" t="s">
        <v>812</v>
      </c>
      <c r="C33" s="1013"/>
      <c r="D33" s="1013"/>
      <c r="E33" s="1013"/>
      <c r="F33" s="1014" t="s">
        <v>812</v>
      </c>
      <c r="G33" s="1014" t="s">
        <v>812</v>
      </c>
      <c r="H33" s="1013">
        <f t="shared" si="0"/>
        <v>3</v>
      </c>
      <c r="I33" s="1014"/>
    </row>
    <row r="34" spans="1:9" ht="15.75" x14ac:dyDescent="0.25">
      <c r="A34" s="1003" t="s">
        <v>811</v>
      </c>
      <c r="B34" s="1002"/>
      <c r="C34" s="1002"/>
      <c r="D34" s="1002"/>
      <c r="E34" s="1002"/>
      <c r="F34" s="1002"/>
      <c r="G34" s="1002"/>
      <c r="H34" s="1011">
        <f t="shared" si="0"/>
        <v>0</v>
      </c>
      <c r="I34" s="1002">
        <v>2</v>
      </c>
    </row>
  </sheetData>
  <pageMargins left="0.7" right="0.7" top="0.75" bottom="0.75" header="0.3" footer="0.3"/>
  <pageSetup scale="97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30"/>
  <sheetViews>
    <sheetView workbookViewId="0"/>
  </sheetViews>
  <sheetFormatPr defaultRowHeight="18.75" customHeight="1" x14ac:dyDescent="0.3"/>
  <cols>
    <col min="1" max="1" width="46" style="97" bestFit="1" customWidth="1"/>
    <col min="2" max="2" width="10.42578125" style="45" hidden="1" customWidth="1"/>
    <col min="3" max="6" width="10.42578125" style="27" hidden="1" customWidth="1"/>
    <col min="7" max="8" width="10.42578125" style="27" customWidth="1"/>
    <col min="9" max="16384" width="9.140625" style="27"/>
  </cols>
  <sheetData>
    <row r="1" spans="1:9" s="46" customFormat="1" ht="18.75" customHeight="1" x14ac:dyDescent="0.3">
      <c r="A1" s="216" t="s">
        <v>542</v>
      </c>
      <c r="B1" s="203"/>
      <c r="C1" s="190"/>
      <c r="D1" s="190"/>
      <c r="E1" s="190"/>
      <c r="F1" s="190"/>
      <c r="G1" s="190"/>
      <c r="H1" s="190"/>
      <c r="I1" s="190"/>
    </row>
    <row r="2" spans="1:9" ht="18.75" customHeight="1" x14ac:dyDescent="0.3">
      <c r="A2" s="98"/>
      <c r="B2" s="49"/>
      <c r="C2" s="98"/>
      <c r="D2" s="98"/>
      <c r="E2" s="98"/>
      <c r="F2" s="98"/>
      <c r="G2" s="98"/>
      <c r="H2" s="98"/>
      <c r="I2" s="98"/>
    </row>
    <row r="3" spans="1:9" s="46" customFormat="1" ht="18.75" customHeight="1" x14ac:dyDescent="0.3">
      <c r="A3" s="41" t="s">
        <v>124</v>
      </c>
      <c r="B3" s="41">
        <v>2010</v>
      </c>
      <c r="C3" s="41">
        <v>2013</v>
      </c>
      <c r="D3" s="41">
        <v>2014</v>
      </c>
      <c r="E3" s="41">
        <v>2015</v>
      </c>
      <c r="F3" s="41">
        <v>2016</v>
      </c>
      <c r="G3" s="41">
        <v>2017</v>
      </c>
      <c r="H3" s="41">
        <v>2018</v>
      </c>
      <c r="I3" s="41">
        <v>2019</v>
      </c>
    </row>
    <row r="4" spans="1:9" s="123" customFormat="1" ht="18.75" customHeight="1" x14ac:dyDescent="0.3">
      <c r="A4" s="101"/>
      <c r="B4" s="101"/>
      <c r="C4" s="101"/>
      <c r="D4" s="101"/>
      <c r="E4" s="101"/>
      <c r="F4" s="712"/>
      <c r="G4" s="712"/>
      <c r="H4" s="712"/>
      <c r="I4" s="712"/>
    </row>
    <row r="5" spans="1:9" s="46" customFormat="1" ht="24.95" customHeight="1" x14ac:dyDescent="0.3">
      <c r="A5" s="41"/>
      <c r="B5" s="198"/>
      <c r="C5" s="198"/>
      <c r="D5" s="198"/>
      <c r="E5" s="198"/>
      <c r="F5" s="713"/>
      <c r="G5" s="713"/>
      <c r="H5" s="713"/>
      <c r="I5" s="713"/>
    </row>
    <row r="6" spans="1:9" ht="24.95" customHeight="1" x14ac:dyDescent="0.3">
      <c r="A6" s="63" t="s">
        <v>56</v>
      </c>
      <c r="B6" s="62">
        <v>2000</v>
      </c>
      <c r="C6" s="62">
        <v>600</v>
      </c>
      <c r="D6" s="62">
        <v>500</v>
      </c>
      <c r="E6" s="62">
        <v>800</v>
      </c>
      <c r="F6" s="665">
        <v>800</v>
      </c>
      <c r="G6" s="665">
        <v>600</v>
      </c>
      <c r="H6" s="665">
        <v>700</v>
      </c>
      <c r="I6" s="665">
        <v>750</v>
      </c>
    </row>
    <row r="7" spans="1:9" ht="24.95" customHeight="1" x14ac:dyDescent="0.3">
      <c r="A7" s="63" t="s">
        <v>57</v>
      </c>
      <c r="B7" s="62">
        <v>4600</v>
      </c>
      <c r="C7" s="62">
        <v>3500</v>
      </c>
      <c r="D7" s="62">
        <v>4000</v>
      </c>
      <c r="E7" s="62">
        <v>2500</v>
      </c>
      <c r="F7" s="665">
        <v>1800</v>
      </c>
      <c r="G7" s="665">
        <v>2000</v>
      </c>
      <c r="H7" s="665">
        <v>2100</v>
      </c>
      <c r="I7" s="665">
        <v>2500</v>
      </c>
    </row>
    <row r="8" spans="1:9" ht="24.95" customHeight="1" x14ac:dyDescent="0.3">
      <c r="A8" s="54" t="s">
        <v>176</v>
      </c>
      <c r="B8" s="42">
        <v>600</v>
      </c>
      <c r="C8" s="42">
        <v>500</v>
      </c>
      <c r="D8" s="42">
        <v>500</v>
      </c>
      <c r="E8" s="42">
        <v>500</v>
      </c>
      <c r="F8" s="676">
        <v>500</v>
      </c>
      <c r="G8" s="676">
        <v>500</v>
      </c>
      <c r="H8" s="676">
        <v>500</v>
      </c>
      <c r="I8" s="676">
        <v>500</v>
      </c>
    </row>
    <row r="9" spans="1:9" ht="24.95" customHeight="1" x14ac:dyDescent="0.3">
      <c r="A9" s="63" t="s">
        <v>476</v>
      </c>
      <c r="B9" s="62">
        <v>800</v>
      </c>
      <c r="C9" s="62"/>
      <c r="D9" s="62">
        <v>300</v>
      </c>
      <c r="E9" s="62">
        <v>400</v>
      </c>
      <c r="F9" s="665">
        <v>400</v>
      </c>
      <c r="G9" s="665">
        <v>600</v>
      </c>
      <c r="H9" s="665">
        <v>600</v>
      </c>
      <c r="I9" s="665">
        <v>800</v>
      </c>
    </row>
    <row r="10" spans="1:9" ht="24.95" hidden="1" customHeight="1" x14ac:dyDescent="0.3">
      <c r="A10" s="63" t="s">
        <v>380</v>
      </c>
      <c r="B10" s="62"/>
      <c r="C10" s="62">
        <v>600</v>
      </c>
      <c r="D10" s="62"/>
      <c r="E10" s="62"/>
      <c r="F10" s="665"/>
      <c r="G10" s="665"/>
      <c r="H10" s="665"/>
      <c r="I10" s="665"/>
    </row>
    <row r="11" spans="1:9" ht="24.95" customHeight="1" x14ac:dyDescent="0.3">
      <c r="A11" s="462"/>
      <c r="B11" s="62"/>
      <c r="C11" s="62"/>
      <c r="D11" s="62"/>
      <c r="E11" s="62"/>
      <c r="F11" s="665"/>
      <c r="G11" s="665"/>
      <c r="H11" s="665"/>
      <c r="I11" s="665"/>
    </row>
    <row r="12" spans="1:9" ht="24.95" customHeight="1" x14ac:dyDescent="0.3">
      <c r="A12" s="462"/>
      <c r="B12" s="62"/>
      <c r="C12" s="62"/>
      <c r="D12" s="62"/>
      <c r="E12" s="62"/>
      <c r="F12" s="665"/>
      <c r="G12" s="665"/>
      <c r="H12" s="665"/>
      <c r="I12" s="665"/>
    </row>
    <row r="13" spans="1:9" ht="24.95" customHeight="1" thickBot="1" x14ac:dyDescent="0.35">
      <c r="A13" s="458"/>
      <c r="B13" s="283">
        <v>925</v>
      </c>
      <c r="C13" s="283"/>
      <c r="D13" s="283"/>
      <c r="E13" s="283"/>
      <c r="F13" s="768"/>
      <c r="G13" s="768"/>
      <c r="H13" s="768"/>
      <c r="I13" s="768"/>
    </row>
    <row r="14" spans="1:9" ht="24.95" customHeight="1" thickTop="1" x14ac:dyDescent="0.3">
      <c r="A14" s="103" t="s">
        <v>122</v>
      </c>
      <c r="B14" s="133">
        <f t="shared" ref="B14:H14" si="0">SUM(B4:B13)</f>
        <v>8925</v>
      </c>
      <c r="C14" s="133">
        <f t="shared" si="0"/>
        <v>5200</v>
      </c>
      <c r="D14" s="133">
        <f t="shared" si="0"/>
        <v>5300</v>
      </c>
      <c r="E14" s="133">
        <f t="shared" si="0"/>
        <v>4200</v>
      </c>
      <c r="F14" s="725">
        <f t="shared" si="0"/>
        <v>3500</v>
      </c>
      <c r="G14" s="725">
        <f t="shared" ref="G14" si="1">SUM(G4:G13)</f>
        <v>3700</v>
      </c>
      <c r="H14" s="725">
        <f t="shared" si="0"/>
        <v>3900</v>
      </c>
      <c r="I14" s="725">
        <f t="shared" ref="I14" si="2">SUM(I4:I13)</f>
        <v>4550</v>
      </c>
    </row>
    <row r="15" spans="1:9" ht="18.75" customHeight="1" x14ac:dyDescent="0.3">
      <c r="B15" s="45" t="s">
        <v>123</v>
      </c>
    </row>
    <row r="16" spans="1:9" ht="18.75" customHeight="1" x14ac:dyDescent="0.3">
      <c r="A16" s="17"/>
    </row>
    <row r="17" spans="1:1" ht="18.75" customHeight="1" x14ac:dyDescent="0.3">
      <c r="A17" s="17"/>
    </row>
    <row r="18" spans="1:1" ht="18.75" customHeight="1" x14ac:dyDescent="0.3">
      <c r="A18" s="17"/>
    </row>
    <row r="19" spans="1:1" ht="18.75" customHeight="1" x14ac:dyDescent="0.3">
      <c r="A19" s="17"/>
    </row>
    <row r="20" spans="1:1" ht="18.75" customHeight="1" x14ac:dyDescent="0.3">
      <c r="A20" s="17"/>
    </row>
    <row r="21" spans="1:1" ht="18.75" customHeight="1" x14ac:dyDescent="0.3">
      <c r="A21" s="17"/>
    </row>
    <row r="22" spans="1:1" ht="18.75" customHeight="1" x14ac:dyDescent="0.3">
      <c r="A22" s="17"/>
    </row>
    <row r="23" spans="1:1" ht="18.75" customHeight="1" x14ac:dyDescent="0.3">
      <c r="A23" s="17"/>
    </row>
    <row r="24" spans="1:1" ht="18.75" customHeight="1" x14ac:dyDescent="0.3">
      <c r="A24" s="17"/>
    </row>
    <row r="25" spans="1:1" ht="18.75" customHeight="1" x14ac:dyDescent="0.3">
      <c r="A25" s="17"/>
    </row>
    <row r="26" spans="1:1" ht="18.75" customHeight="1" x14ac:dyDescent="0.3">
      <c r="A26" s="17"/>
    </row>
    <row r="27" spans="1:1" ht="18.75" customHeight="1" x14ac:dyDescent="0.3">
      <c r="A27" s="17"/>
    </row>
    <row r="28" spans="1:1" ht="18.75" customHeight="1" x14ac:dyDescent="0.3">
      <c r="A28" s="17"/>
    </row>
    <row r="29" spans="1:1" ht="18.75" customHeight="1" x14ac:dyDescent="0.3">
      <c r="A29" s="17"/>
    </row>
    <row r="30" spans="1:1" ht="18.75" customHeight="1" x14ac:dyDescent="0.3">
      <c r="A30" s="17"/>
    </row>
  </sheetData>
  <sortState ref="A11:E14">
    <sortCondition ref="A11:A14"/>
  </sortState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J31"/>
  <sheetViews>
    <sheetView workbookViewId="0"/>
  </sheetViews>
  <sheetFormatPr defaultRowHeight="14.25" x14ac:dyDescent="0.2"/>
  <cols>
    <col min="1" max="1" width="32.42578125" style="186" bestFit="1" customWidth="1"/>
    <col min="2" max="2" width="10.42578125" style="186" hidden="1" customWidth="1"/>
    <col min="3" max="3" width="10" style="186" hidden="1" customWidth="1"/>
    <col min="4" max="6" width="10.42578125" style="186" hidden="1" customWidth="1"/>
    <col min="7" max="8" width="10.42578125" style="186" customWidth="1"/>
    <col min="9" max="16384" width="9.140625" style="186"/>
  </cols>
  <sheetData>
    <row r="1" spans="1:9" ht="18" customHeight="1" x14ac:dyDescent="0.3">
      <c r="A1" s="216" t="s">
        <v>543</v>
      </c>
      <c r="B1" s="203"/>
      <c r="C1" s="190"/>
      <c r="D1" s="190"/>
      <c r="E1" s="190"/>
      <c r="F1" s="190"/>
      <c r="G1" s="190"/>
      <c r="H1" s="190"/>
      <c r="I1" s="190"/>
    </row>
    <row r="2" spans="1:9" ht="18" customHeight="1" x14ac:dyDescent="0.3">
      <c r="A2" s="98"/>
      <c r="B2" s="49"/>
      <c r="C2" s="98"/>
      <c r="D2" s="98"/>
      <c r="E2" s="98"/>
      <c r="F2" s="98"/>
      <c r="G2" s="98"/>
      <c r="H2" s="98"/>
      <c r="I2" s="98"/>
    </row>
    <row r="3" spans="1:9" ht="18" customHeight="1" x14ac:dyDescent="0.3">
      <c r="A3" s="41" t="s">
        <v>124</v>
      </c>
      <c r="B3" s="41">
        <v>2010</v>
      </c>
      <c r="C3" s="41">
        <v>2013</v>
      </c>
      <c r="D3" s="41">
        <v>2014</v>
      </c>
      <c r="E3" s="41">
        <v>2015</v>
      </c>
      <c r="F3" s="41">
        <v>2016</v>
      </c>
      <c r="G3" s="41">
        <v>2017</v>
      </c>
      <c r="H3" s="41">
        <v>2018</v>
      </c>
      <c r="I3" s="41">
        <v>2019</v>
      </c>
    </row>
    <row r="4" spans="1:9" ht="18" customHeight="1" x14ac:dyDescent="0.3">
      <c r="A4" s="101"/>
      <c r="B4" s="101"/>
      <c r="C4" s="101"/>
      <c r="D4" s="101"/>
      <c r="E4" s="101"/>
      <c r="F4" s="712"/>
      <c r="G4" s="712"/>
      <c r="H4" s="712"/>
      <c r="I4" s="712"/>
    </row>
    <row r="5" spans="1:9" ht="24.95" hidden="1" customHeight="1" x14ac:dyDescent="0.3">
      <c r="A5" s="54" t="s">
        <v>92</v>
      </c>
      <c r="B5" s="42">
        <v>400</v>
      </c>
      <c r="C5" s="42">
        <v>700</v>
      </c>
      <c r="D5" s="42" t="s">
        <v>487</v>
      </c>
      <c r="E5" s="42" t="s">
        <v>487</v>
      </c>
      <c r="F5" s="676" t="s">
        <v>487</v>
      </c>
      <c r="G5" s="676" t="s">
        <v>487</v>
      </c>
      <c r="H5" s="676" t="s">
        <v>487</v>
      </c>
      <c r="I5" s="676" t="s">
        <v>487</v>
      </c>
    </row>
    <row r="6" spans="1:9" ht="24.95" customHeight="1" x14ac:dyDescent="0.3">
      <c r="A6" s="54" t="s">
        <v>93</v>
      </c>
      <c r="B6" s="42">
        <v>800</v>
      </c>
      <c r="C6" s="42">
        <v>800</v>
      </c>
      <c r="D6" s="42">
        <v>800</v>
      </c>
      <c r="E6" s="42">
        <v>800</v>
      </c>
      <c r="F6" s="676">
        <v>800</v>
      </c>
      <c r="G6" s="676">
        <v>800</v>
      </c>
      <c r="H6" s="676">
        <v>800</v>
      </c>
      <c r="I6" s="676">
        <v>1000</v>
      </c>
    </row>
    <row r="7" spans="1:9" ht="24.95" customHeight="1" x14ac:dyDescent="0.3">
      <c r="A7" s="54" t="s">
        <v>94</v>
      </c>
      <c r="B7" s="42">
        <v>700</v>
      </c>
      <c r="C7" s="42">
        <v>2600</v>
      </c>
      <c r="D7" s="42">
        <f>1700+1825</f>
        <v>3525</v>
      </c>
      <c r="E7" s="42">
        <f>1700+1825</f>
        <v>3525</v>
      </c>
      <c r="F7" s="676">
        <f>1700+1825</f>
        <v>3525</v>
      </c>
      <c r="G7" s="676">
        <f>1700+1825</f>
        <v>3525</v>
      </c>
      <c r="H7" s="676">
        <v>3600</v>
      </c>
      <c r="I7" s="676">
        <v>3600</v>
      </c>
    </row>
    <row r="8" spans="1:9" ht="24.95" hidden="1" customHeight="1" x14ac:dyDescent="0.3">
      <c r="A8" s="54" t="s">
        <v>95</v>
      </c>
      <c r="B8" s="62">
        <v>250</v>
      </c>
      <c r="C8" s="42" t="s">
        <v>487</v>
      </c>
      <c r="D8" s="42" t="s">
        <v>487</v>
      </c>
      <c r="E8" s="42" t="s">
        <v>487</v>
      </c>
      <c r="F8" s="676" t="s">
        <v>487</v>
      </c>
      <c r="G8" s="676" t="s">
        <v>487</v>
      </c>
      <c r="H8" s="676" t="s">
        <v>487</v>
      </c>
      <c r="I8" s="676" t="s">
        <v>487</v>
      </c>
    </row>
    <row r="9" spans="1:9" ht="24.95" customHeight="1" x14ac:dyDescent="0.3">
      <c r="A9" s="54" t="s">
        <v>486</v>
      </c>
      <c r="B9" s="62">
        <v>125</v>
      </c>
      <c r="C9" s="42" t="s">
        <v>487</v>
      </c>
      <c r="D9" s="62">
        <f>610+460</f>
        <v>1070</v>
      </c>
      <c r="E9" s="62">
        <f>610+460</f>
        <v>1070</v>
      </c>
      <c r="F9" s="665">
        <f>610+460</f>
        <v>1070</v>
      </c>
      <c r="G9" s="665">
        <f>610+460</f>
        <v>1070</v>
      </c>
      <c r="H9" s="665">
        <v>1200</v>
      </c>
      <c r="I9" s="665">
        <v>1400</v>
      </c>
    </row>
    <row r="10" spans="1:9" ht="24.95" customHeight="1" x14ac:dyDescent="0.3">
      <c r="A10" s="54" t="s">
        <v>560</v>
      </c>
      <c r="B10" s="62"/>
      <c r="C10" s="42"/>
      <c r="D10" s="62"/>
      <c r="E10" s="197">
        <v>255</v>
      </c>
      <c r="F10" s="666">
        <v>275</v>
      </c>
      <c r="G10" s="666">
        <v>275</v>
      </c>
      <c r="H10" s="666">
        <v>300</v>
      </c>
      <c r="I10" s="666">
        <v>500</v>
      </c>
    </row>
    <row r="11" spans="1:9" ht="24.95" customHeight="1" x14ac:dyDescent="0.3">
      <c r="A11" s="54" t="s">
        <v>746</v>
      </c>
      <c r="B11" s="62">
        <v>1000</v>
      </c>
      <c r="C11" s="62">
        <v>3400</v>
      </c>
      <c r="D11" s="62">
        <f>40*85</f>
        <v>3400</v>
      </c>
      <c r="E11" s="62">
        <f>40*85</f>
        <v>3400</v>
      </c>
      <c r="F11" s="665">
        <f>40*85</f>
        <v>3400</v>
      </c>
      <c r="G11" s="665">
        <f>40*85</f>
        <v>3400</v>
      </c>
      <c r="H11" s="665">
        <f>40*85</f>
        <v>3400</v>
      </c>
      <c r="I11" s="665">
        <f>45*55</f>
        <v>2475</v>
      </c>
    </row>
    <row r="12" spans="1:9" ht="24.95" customHeight="1" x14ac:dyDescent="0.3">
      <c r="A12" s="54" t="s">
        <v>745</v>
      </c>
      <c r="B12" s="62">
        <v>500</v>
      </c>
      <c r="C12" s="62">
        <v>2125</v>
      </c>
      <c r="D12" s="62">
        <f>25*85</f>
        <v>2125</v>
      </c>
      <c r="E12" s="62">
        <f>25*85</f>
        <v>2125</v>
      </c>
      <c r="F12" s="665">
        <f>20*85</f>
        <v>1700</v>
      </c>
      <c r="G12" s="665">
        <f>20*85</f>
        <v>1700</v>
      </c>
      <c r="H12" s="665">
        <f>20*85</f>
        <v>1700</v>
      </c>
      <c r="I12" s="665">
        <f>25*55</f>
        <v>1375</v>
      </c>
    </row>
    <row r="13" spans="1:9" ht="24.95" customHeight="1" x14ac:dyDescent="0.3">
      <c r="A13" s="66" t="s">
        <v>309</v>
      </c>
      <c r="B13" s="107">
        <v>100</v>
      </c>
      <c r="C13" s="107">
        <v>100</v>
      </c>
      <c r="D13" s="107">
        <v>150</v>
      </c>
      <c r="E13" s="107">
        <v>150</v>
      </c>
      <c r="F13" s="755">
        <v>150</v>
      </c>
      <c r="G13" s="755">
        <v>150</v>
      </c>
      <c r="H13" s="755">
        <v>150</v>
      </c>
      <c r="I13" s="755">
        <v>150</v>
      </c>
    </row>
    <row r="14" spans="1:9" ht="24.95" customHeight="1" x14ac:dyDescent="0.3">
      <c r="A14" s="66" t="s">
        <v>308</v>
      </c>
      <c r="B14" s="107"/>
      <c r="C14" s="107">
        <v>60</v>
      </c>
      <c r="D14" s="107"/>
      <c r="E14" s="107">
        <v>60</v>
      </c>
      <c r="F14" s="755">
        <v>60</v>
      </c>
      <c r="G14" s="755">
        <v>60</v>
      </c>
      <c r="H14" s="755">
        <v>60</v>
      </c>
      <c r="I14" s="755">
        <v>60</v>
      </c>
    </row>
    <row r="15" spans="1:9" ht="24.95" customHeight="1" x14ac:dyDescent="0.3">
      <c r="A15" s="66" t="s">
        <v>307</v>
      </c>
      <c r="B15" s="107">
        <v>70</v>
      </c>
      <c r="C15" s="107">
        <v>70</v>
      </c>
      <c r="D15" s="107">
        <v>70</v>
      </c>
      <c r="E15" s="107">
        <v>70</v>
      </c>
      <c r="F15" s="755">
        <v>70</v>
      </c>
      <c r="G15" s="755">
        <v>70</v>
      </c>
      <c r="H15" s="755">
        <v>70</v>
      </c>
      <c r="I15" s="755">
        <v>70</v>
      </c>
    </row>
    <row r="16" spans="1:9" ht="24.95" customHeight="1" x14ac:dyDescent="0.3">
      <c r="A16" s="66" t="s">
        <v>306</v>
      </c>
      <c r="B16" s="107">
        <v>50</v>
      </c>
      <c r="C16" s="107">
        <v>85</v>
      </c>
      <c r="D16" s="107">
        <v>85</v>
      </c>
      <c r="E16" s="107">
        <v>85</v>
      </c>
      <c r="F16" s="755">
        <v>85</v>
      </c>
      <c r="G16" s="755">
        <v>85</v>
      </c>
      <c r="H16" s="755">
        <v>85</v>
      </c>
      <c r="I16" s="755">
        <v>55</v>
      </c>
    </row>
    <row r="17" spans="1:10" ht="24.95" customHeight="1" x14ac:dyDescent="0.3">
      <c r="A17" s="66" t="s">
        <v>441</v>
      </c>
      <c r="B17" s="107"/>
      <c r="C17" s="107">
        <v>66</v>
      </c>
      <c r="D17" s="107">
        <f>70*2</f>
        <v>140</v>
      </c>
      <c r="E17" s="107">
        <f>70*2</f>
        <v>140</v>
      </c>
      <c r="F17" s="755">
        <f>70*2</f>
        <v>140</v>
      </c>
      <c r="G17" s="755">
        <f>70*2</f>
        <v>140</v>
      </c>
      <c r="H17" s="755">
        <f>70</f>
        <v>70</v>
      </c>
      <c r="I17" s="755">
        <v>70</v>
      </c>
      <c r="J17" s="186" t="s">
        <v>656</v>
      </c>
    </row>
    <row r="18" spans="1:10" ht="24.95" customHeight="1" x14ac:dyDescent="0.3">
      <c r="A18" s="66" t="s">
        <v>504</v>
      </c>
      <c r="B18" s="62"/>
      <c r="C18" s="62">
        <v>1500</v>
      </c>
      <c r="D18" s="62">
        <v>1500</v>
      </c>
      <c r="E18" s="62">
        <v>1600</v>
      </c>
      <c r="F18" s="666">
        <v>1600</v>
      </c>
      <c r="G18" s="666">
        <v>1600</v>
      </c>
      <c r="H18" s="666">
        <v>1700</v>
      </c>
      <c r="I18" s="666">
        <v>1800</v>
      </c>
    </row>
    <row r="19" spans="1:10" ht="24.95" customHeight="1" x14ac:dyDescent="0.3">
      <c r="A19" s="66" t="s">
        <v>744</v>
      </c>
      <c r="B19" s="62"/>
      <c r="C19" s="62"/>
      <c r="D19" s="62">
        <v>275</v>
      </c>
      <c r="E19" s="62">
        <v>300</v>
      </c>
      <c r="F19" s="665">
        <v>300</v>
      </c>
      <c r="G19" s="665">
        <v>300</v>
      </c>
      <c r="H19" s="665">
        <v>300</v>
      </c>
      <c r="I19" s="665">
        <v>300</v>
      </c>
    </row>
    <row r="20" spans="1:10" ht="24.95" customHeight="1" x14ac:dyDescent="0.3">
      <c r="A20" s="66"/>
      <c r="B20" s="62"/>
      <c r="C20" s="62"/>
      <c r="D20" s="62"/>
      <c r="E20" s="62"/>
      <c r="F20" s="665"/>
      <c r="G20" s="665"/>
      <c r="H20" s="665"/>
      <c r="I20" s="665"/>
    </row>
    <row r="21" spans="1:10" ht="24.95" customHeight="1" x14ac:dyDescent="0.3">
      <c r="A21" s="66"/>
      <c r="B21" s="452">
        <v>-1000</v>
      </c>
      <c r="C21" s="452"/>
      <c r="D21" s="452"/>
      <c r="E21" s="452"/>
      <c r="F21" s="667"/>
      <c r="G21" s="667"/>
      <c r="H21" s="667"/>
      <c r="I21" s="667"/>
    </row>
    <row r="22" spans="1:10" ht="24.95" customHeight="1" x14ac:dyDescent="0.3">
      <c r="A22" s="113" t="s">
        <v>172</v>
      </c>
      <c r="B22" s="377">
        <f t="shared" ref="B22:H22" si="0">SUM(B4:B21)</f>
        <v>2995</v>
      </c>
      <c r="C22" s="499">
        <f t="shared" si="0"/>
        <v>11506</v>
      </c>
      <c r="D22" s="499">
        <f t="shared" si="0"/>
        <v>13140</v>
      </c>
      <c r="E22" s="499">
        <f t="shared" si="0"/>
        <v>13580</v>
      </c>
      <c r="F22" s="438">
        <f t="shared" si="0"/>
        <v>13175</v>
      </c>
      <c r="G22" s="438">
        <f t="shared" ref="G22" si="1">SUM(G4:G21)</f>
        <v>13175</v>
      </c>
      <c r="H22" s="438">
        <f t="shared" si="0"/>
        <v>13435</v>
      </c>
      <c r="I22" s="438">
        <f t="shared" ref="I22" si="2">SUM(I4:I21)</f>
        <v>12855</v>
      </c>
    </row>
    <row r="23" spans="1:10" ht="18" customHeight="1" x14ac:dyDescent="0.3">
      <c r="A23" s="111"/>
      <c r="B23" s="111"/>
      <c r="C23" s="111"/>
      <c r="D23" s="111"/>
    </row>
    <row r="24" spans="1:10" ht="18" customHeight="1" x14ac:dyDescent="0.3">
      <c r="A24" s="111" t="s">
        <v>592</v>
      </c>
      <c r="B24" s="111"/>
      <c r="C24" s="111"/>
      <c r="D24" s="111"/>
    </row>
    <row r="25" spans="1:10" ht="18" customHeight="1" x14ac:dyDescent="0.3">
      <c r="A25" s="111"/>
      <c r="B25" s="111"/>
      <c r="C25" s="111"/>
      <c r="D25" s="111"/>
    </row>
    <row r="26" spans="1:10" ht="18" customHeight="1" x14ac:dyDescent="0.3">
      <c r="A26" s="111"/>
      <c r="B26" s="111"/>
      <c r="C26" s="111"/>
      <c r="D26" s="111"/>
    </row>
    <row r="27" spans="1:10" ht="18" customHeight="1" x14ac:dyDescent="0.3">
      <c r="A27" s="111"/>
      <c r="B27" s="111"/>
      <c r="C27" s="111"/>
      <c r="D27" s="111"/>
    </row>
    <row r="28" spans="1:10" ht="18" customHeight="1" x14ac:dyDescent="0.3">
      <c r="A28" s="111"/>
      <c r="B28" s="111"/>
      <c r="C28" s="111"/>
      <c r="D28" s="111"/>
    </row>
    <row r="29" spans="1:10" ht="16.5" x14ac:dyDescent="0.3">
      <c r="A29" s="111"/>
      <c r="B29" s="111"/>
      <c r="C29" s="111"/>
      <c r="D29" s="111"/>
    </row>
    <row r="30" spans="1:10" ht="16.5" x14ac:dyDescent="0.3">
      <c r="A30" s="111"/>
      <c r="B30" s="111"/>
      <c r="C30" s="111"/>
      <c r="D30" s="111"/>
    </row>
    <row r="31" spans="1:10" ht="16.5" x14ac:dyDescent="0.3">
      <c r="A31" s="111"/>
      <c r="B31" s="111"/>
      <c r="C31" s="111"/>
      <c r="D31" s="111"/>
    </row>
  </sheetData>
  <sortState ref="A13:E16">
    <sortCondition ref="A13:A16"/>
  </sortState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I24"/>
  <sheetViews>
    <sheetView workbookViewId="0"/>
  </sheetViews>
  <sheetFormatPr defaultRowHeight="16.5" x14ac:dyDescent="0.3"/>
  <cols>
    <col min="1" max="1" width="33" style="111" customWidth="1"/>
    <col min="2" max="4" width="11.7109375" style="111" hidden="1" customWidth="1"/>
    <col min="5" max="6" width="10.28515625" style="111" hidden="1" customWidth="1"/>
    <col min="7" max="8" width="10.28515625" style="111" customWidth="1"/>
    <col min="9" max="16384" width="9.140625" style="111"/>
  </cols>
  <sheetData>
    <row r="1" spans="1:9" ht="18" customHeight="1" x14ac:dyDescent="0.3">
      <c r="A1" s="216" t="s">
        <v>12</v>
      </c>
      <c r="B1" s="203"/>
      <c r="C1" s="190"/>
      <c r="D1" s="190"/>
      <c r="E1" s="190"/>
      <c r="F1" s="190"/>
      <c r="G1" s="190"/>
      <c r="H1" s="190"/>
      <c r="I1" s="190"/>
    </row>
    <row r="2" spans="1:9" ht="18" customHeight="1" x14ac:dyDescent="0.3">
      <c r="A2" s="98"/>
      <c r="B2" s="49"/>
      <c r="C2" s="98"/>
      <c r="D2" s="98"/>
      <c r="E2" s="98"/>
      <c r="F2" s="98"/>
      <c r="G2" s="98"/>
      <c r="H2" s="98"/>
      <c r="I2" s="98"/>
    </row>
    <row r="3" spans="1:9" ht="18" customHeight="1" x14ac:dyDescent="0.3">
      <c r="A3" s="41" t="s">
        <v>124</v>
      </c>
      <c r="B3" s="41">
        <v>2010</v>
      </c>
      <c r="C3" s="41">
        <v>2013</v>
      </c>
      <c r="D3" s="41">
        <v>2014</v>
      </c>
      <c r="E3" s="41">
        <v>2015</v>
      </c>
      <c r="F3" s="41">
        <v>2016</v>
      </c>
      <c r="G3" s="41">
        <v>2017</v>
      </c>
      <c r="H3" s="41">
        <v>2018</v>
      </c>
      <c r="I3" s="41">
        <v>2019</v>
      </c>
    </row>
    <row r="4" spans="1:9" ht="18" customHeight="1" x14ac:dyDescent="0.3">
      <c r="A4" s="101"/>
      <c r="B4" s="101"/>
      <c r="C4" s="101"/>
      <c r="D4" s="101"/>
      <c r="E4" s="101"/>
      <c r="F4" s="101"/>
      <c r="G4" s="101"/>
      <c r="H4" s="101"/>
      <c r="I4" s="101"/>
    </row>
    <row r="5" spans="1:9" ht="24.75" customHeight="1" x14ac:dyDescent="0.3">
      <c r="A5" s="115" t="s">
        <v>13</v>
      </c>
      <c r="B5" s="42"/>
      <c r="C5" s="42"/>
      <c r="D5" s="42"/>
      <c r="E5" s="42"/>
      <c r="F5" s="676"/>
      <c r="G5" s="676"/>
      <c r="H5" s="676"/>
      <c r="I5" s="676"/>
    </row>
    <row r="6" spans="1:9" ht="18" hidden="1" customHeight="1" x14ac:dyDescent="0.3">
      <c r="A6" s="54" t="s">
        <v>105</v>
      </c>
      <c r="B6" s="42">
        <v>200</v>
      </c>
      <c r="C6" s="42">
        <v>100</v>
      </c>
      <c r="D6" s="42">
        <v>100</v>
      </c>
      <c r="E6" s="42">
        <v>200</v>
      </c>
      <c r="F6" s="676">
        <v>200</v>
      </c>
      <c r="G6" s="676">
        <v>0</v>
      </c>
      <c r="H6" s="676">
        <v>0</v>
      </c>
      <c r="I6" s="676">
        <v>0</v>
      </c>
    </row>
    <row r="7" spans="1:9" ht="18" hidden="1" customHeight="1" x14ac:dyDescent="0.3">
      <c r="A7" s="54" t="s">
        <v>16</v>
      </c>
      <c r="B7" s="42">
        <v>300</v>
      </c>
      <c r="C7" s="42">
        <v>100</v>
      </c>
      <c r="D7" s="42">
        <v>100</v>
      </c>
      <c r="E7" s="42">
        <v>0</v>
      </c>
      <c r="F7" s="676">
        <v>0</v>
      </c>
      <c r="G7" s="676">
        <v>0</v>
      </c>
      <c r="H7" s="676">
        <v>0</v>
      </c>
      <c r="I7" s="676">
        <v>0</v>
      </c>
    </row>
    <row r="8" spans="1:9" ht="18" customHeight="1" x14ac:dyDescent="0.3">
      <c r="A8" s="54" t="s">
        <v>747</v>
      </c>
      <c r="B8" s="42">
        <v>200</v>
      </c>
      <c r="C8" s="42">
        <v>100</v>
      </c>
      <c r="D8" s="42">
        <v>100</v>
      </c>
      <c r="E8" s="42">
        <v>100</v>
      </c>
      <c r="F8" s="676">
        <v>100</v>
      </c>
      <c r="G8" s="676">
        <v>400</v>
      </c>
      <c r="H8" s="676">
        <v>400</v>
      </c>
      <c r="I8" s="676">
        <v>450</v>
      </c>
    </row>
    <row r="9" spans="1:9" ht="18" customHeight="1" x14ac:dyDescent="0.3">
      <c r="A9" s="54"/>
      <c r="B9" s="42">
        <v>1400</v>
      </c>
      <c r="C9" s="42"/>
      <c r="D9" s="42"/>
      <c r="E9" s="42"/>
      <c r="F9" s="676"/>
      <c r="G9" s="676"/>
      <c r="H9" s="676"/>
      <c r="I9" s="676"/>
    </row>
    <row r="10" spans="1:9" ht="27.75" hidden="1" customHeight="1" x14ac:dyDescent="0.3">
      <c r="A10" s="116" t="s">
        <v>17</v>
      </c>
      <c r="B10" s="42"/>
      <c r="C10" s="42"/>
      <c r="D10" s="42"/>
      <c r="E10" s="42"/>
      <c r="F10" s="676"/>
      <c r="G10" s="676"/>
      <c r="H10" s="676"/>
      <c r="I10" s="676"/>
    </row>
    <row r="11" spans="1:9" ht="18" hidden="1" customHeight="1" x14ac:dyDescent="0.3">
      <c r="A11" s="54" t="s">
        <v>18</v>
      </c>
      <c r="B11" s="62"/>
      <c r="C11" s="62"/>
      <c r="D11" s="62"/>
      <c r="E11" s="62"/>
      <c r="F11" s="665"/>
      <c r="G11" s="665"/>
      <c r="H11" s="665"/>
      <c r="I11" s="665"/>
    </row>
    <row r="12" spans="1:9" ht="18" hidden="1" customHeight="1" x14ac:dyDescent="0.3">
      <c r="A12" s="453" t="s">
        <v>415</v>
      </c>
      <c r="B12" s="62">
        <v>1000</v>
      </c>
      <c r="C12" s="62"/>
      <c r="D12" s="62"/>
      <c r="E12" s="62"/>
      <c r="F12" s="665"/>
      <c r="G12" s="665"/>
      <c r="H12" s="665"/>
      <c r="I12" s="665"/>
    </row>
    <row r="13" spans="1:9" ht="18" customHeight="1" x14ac:dyDescent="0.3">
      <c r="A13" s="453"/>
      <c r="B13" s="62"/>
      <c r="C13" s="62"/>
      <c r="D13" s="62"/>
      <c r="E13" s="62"/>
      <c r="F13" s="665"/>
      <c r="G13" s="665"/>
      <c r="H13" s="665"/>
      <c r="I13" s="665"/>
    </row>
    <row r="14" spans="1:9" ht="18" customHeight="1" x14ac:dyDescent="0.3">
      <c r="A14" s="54"/>
      <c r="B14" s="62"/>
      <c r="C14" s="62"/>
      <c r="D14" s="62"/>
      <c r="E14" s="62"/>
      <c r="F14" s="665"/>
      <c r="G14" s="665"/>
      <c r="H14" s="665"/>
      <c r="I14" s="665"/>
    </row>
    <row r="15" spans="1:9" ht="18" customHeight="1" x14ac:dyDescent="0.3">
      <c r="A15" s="54"/>
      <c r="B15" s="107"/>
      <c r="C15" s="107"/>
      <c r="D15" s="107"/>
      <c r="E15" s="107"/>
      <c r="F15" s="755"/>
      <c r="G15" s="755"/>
      <c r="H15" s="755"/>
      <c r="I15" s="755"/>
    </row>
    <row r="16" spans="1:9" ht="18" customHeight="1" x14ac:dyDescent="0.3">
      <c r="A16" s="54"/>
      <c r="B16" s="107"/>
      <c r="C16" s="107"/>
      <c r="D16" s="107"/>
      <c r="E16" s="107"/>
      <c r="F16" s="755"/>
      <c r="G16" s="755"/>
      <c r="H16" s="755"/>
      <c r="I16" s="755"/>
    </row>
    <row r="17" spans="1:9" ht="18" customHeight="1" thickBot="1" x14ac:dyDescent="0.35">
      <c r="A17" s="405"/>
      <c r="B17" s="107">
        <v>-3076.78</v>
      </c>
      <c r="C17" s="107">
        <v>-550</v>
      </c>
      <c r="D17" s="107"/>
      <c r="E17" s="107"/>
      <c r="F17" s="755"/>
      <c r="G17" s="755"/>
      <c r="H17" s="755"/>
      <c r="I17" s="755"/>
    </row>
    <row r="18" spans="1:9" ht="18" customHeight="1" thickTop="1" x14ac:dyDescent="0.3">
      <c r="A18" s="113" t="s">
        <v>172</v>
      </c>
      <c r="B18" s="112">
        <f t="shared" ref="B18:H18" si="0">SUM(B4:B17)</f>
        <v>23.2199999999998</v>
      </c>
      <c r="C18" s="112">
        <f t="shared" si="0"/>
        <v>-250</v>
      </c>
      <c r="D18" s="112">
        <f t="shared" si="0"/>
        <v>300</v>
      </c>
      <c r="E18" s="112">
        <f t="shared" si="0"/>
        <v>300</v>
      </c>
      <c r="F18" s="756">
        <f t="shared" si="0"/>
        <v>300</v>
      </c>
      <c r="G18" s="756">
        <f t="shared" ref="G18" si="1">SUM(G4:G17)</f>
        <v>400</v>
      </c>
      <c r="H18" s="756">
        <f t="shared" si="0"/>
        <v>400</v>
      </c>
      <c r="I18" s="756">
        <f t="shared" ref="I18" si="2">SUM(I4:I17)</f>
        <v>450</v>
      </c>
    </row>
    <row r="19" spans="1:9" ht="18" customHeight="1" x14ac:dyDescent="0.3"/>
    <row r="20" spans="1:9" ht="18" customHeight="1" x14ac:dyDescent="0.3"/>
    <row r="21" spans="1:9" ht="18" customHeight="1" x14ac:dyDescent="0.3"/>
    <row r="22" spans="1:9" ht="18" customHeight="1" x14ac:dyDescent="0.3"/>
    <row r="23" spans="1:9" ht="18" customHeight="1" x14ac:dyDescent="0.3"/>
    <row r="24" spans="1:9" ht="18" customHeight="1" x14ac:dyDescent="0.3"/>
  </sheetData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I43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3"/>
  <cols>
    <col min="1" max="1" width="49.140625" style="97" bestFit="1" customWidth="1"/>
    <col min="2" max="2" width="10.7109375" style="28" hidden="1" customWidth="1"/>
    <col min="3" max="6" width="10.7109375" style="27" hidden="1" customWidth="1"/>
    <col min="7" max="8" width="10.7109375" style="27" customWidth="1"/>
    <col min="9" max="9" width="9.5703125" style="27" bestFit="1" customWidth="1"/>
    <col min="10" max="16384" width="9.140625" style="27"/>
  </cols>
  <sheetData>
    <row r="1" spans="1:9" s="46" customFormat="1" ht="18.75" customHeight="1" x14ac:dyDescent="0.3">
      <c r="A1" s="216" t="s">
        <v>203</v>
      </c>
      <c r="B1" s="206"/>
      <c r="C1" s="206"/>
      <c r="D1" s="206"/>
      <c r="E1" s="206"/>
      <c r="F1" s="206"/>
      <c r="G1" s="206"/>
      <c r="H1" s="206"/>
      <c r="I1" s="206"/>
    </row>
    <row r="2" spans="1:9" ht="18.75" customHeight="1" x14ac:dyDescent="0.3">
      <c r="A2" s="98"/>
      <c r="B2" s="49"/>
      <c r="C2" s="49"/>
      <c r="D2" s="49"/>
      <c r="E2" s="49"/>
      <c r="F2" s="49"/>
      <c r="G2" s="49"/>
      <c r="H2" s="49"/>
      <c r="I2" s="49"/>
    </row>
    <row r="3" spans="1:9" s="46" customFormat="1" ht="18.75" customHeight="1" x14ac:dyDescent="0.3">
      <c r="A3" s="41" t="s">
        <v>124</v>
      </c>
      <c r="B3" s="99">
        <v>2010</v>
      </c>
      <c r="C3" s="99">
        <v>2013</v>
      </c>
      <c r="D3" s="99">
        <v>2014</v>
      </c>
      <c r="E3" s="99">
        <v>2015</v>
      </c>
      <c r="F3" s="99">
        <v>2016</v>
      </c>
      <c r="G3" s="99">
        <v>2017</v>
      </c>
      <c r="H3" s="99">
        <v>2018</v>
      </c>
      <c r="I3" s="99">
        <v>2019</v>
      </c>
    </row>
    <row r="4" spans="1:9" s="123" customFormat="1" ht="18.75" customHeight="1" x14ac:dyDescent="0.3">
      <c r="A4" s="101"/>
      <c r="B4" s="222"/>
      <c r="C4" s="222"/>
      <c r="D4" s="222"/>
      <c r="E4" s="222"/>
      <c r="F4" s="747"/>
      <c r="G4" s="747"/>
      <c r="H4" s="747"/>
      <c r="I4" s="747"/>
    </row>
    <row r="5" spans="1:9" s="123" customFormat="1" ht="18.75" customHeight="1" x14ac:dyDescent="0.3">
      <c r="A5" s="63" t="s">
        <v>129</v>
      </c>
      <c r="B5" s="49">
        <v>2000</v>
      </c>
      <c r="C5" s="49">
        <v>5000</v>
      </c>
      <c r="D5" s="49">
        <v>6000</v>
      </c>
      <c r="E5" s="49">
        <v>6000</v>
      </c>
      <c r="F5" s="728">
        <v>6000</v>
      </c>
      <c r="G5" s="728">
        <v>7000</v>
      </c>
      <c r="H5" s="728">
        <v>7000</v>
      </c>
      <c r="I5" s="728">
        <v>6000</v>
      </c>
    </row>
    <row r="6" spans="1:9" s="123" customFormat="1" ht="18.75" customHeight="1" x14ac:dyDescent="0.3">
      <c r="A6" s="63" t="s">
        <v>567</v>
      </c>
      <c r="B6" s="49">
        <v>4000</v>
      </c>
      <c r="C6" s="49">
        <v>4600</v>
      </c>
      <c r="D6" s="551">
        <f>(199*2*2)+(646*2*3)</f>
        <v>4672</v>
      </c>
      <c r="E6" s="551">
        <f>(199*2*2)+(646*2*3)+2000</f>
        <v>6672</v>
      </c>
      <c r="F6" s="721">
        <v>7000</v>
      </c>
      <c r="G6" s="721">
        <v>7000</v>
      </c>
      <c r="H6" s="721">
        <v>7000</v>
      </c>
      <c r="I6" s="721">
        <v>7200</v>
      </c>
    </row>
    <row r="7" spans="1:9" s="123" customFormat="1" ht="18.75" customHeight="1" x14ac:dyDescent="0.3">
      <c r="A7" s="63" t="s">
        <v>130</v>
      </c>
      <c r="B7" s="49">
        <v>800</v>
      </c>
      <c r="C7" s="49">
        <v>850</v>
      </c>
      <c r="D7" s="551">
        <f>(95*4*2)+80</f>
        <v>840</v>
      </c>
      <c r="E7" s="551">
        <f>(175*4)+100</f>
        <v>800</v>
      </c>
      <c r="F7" s="721">
        <f>(95*4)+(80*4)+200</f>
        <v>900</v>
      </c>
      <c r="G7" s="721">
        <f>(95*4)+(80*4)+200</f>
        <v>900</v>
      </c>
      <c r="H7" s="721">
        <f>(95*4)+(80*4)+200</f>
        <v>900</v>
      </c>
      <c r="I7" s="721">
        <f>(95*4)+(80*4)+200</f>
        <v>900</v>
      </c>
    </row>
    <row r="8" spans="1:9" s="123" customFormat="1" ht="18.75" hidden="1" customHeight="1" x14ac:dyDescent="0.3">
      <c r="A8" s="233" t="s">
        <v>223</v>
      </c>
      <c r="B8" s="795">
        <v>8000</v>
      </c>
      <c r="C8" s="795">
        <v>8100</v>
      </c>
      <c r="D8" s="795">
        <f>(660*12)</f>
        <v>7920</v>
      </c>
      <c r="E8" s="795">
        <v>0</v>
      </c>
      <c r="F8" s="783"/>
      <c r="G8" s="783"/>
      <c r="H8" s="783"/>
      <c r="I8" s="783"/>
    </row>
    <row r="9" spans="1:9" s="123" customFormat="1" ht="18.75" customHeight="1" x14ac:dyDescent="0.3">
      <c r="A9" s="63" t="s">
        <v>37</v>
      </c>
      <c r="B9" s="49">
        <v>50</v>
      </c>
      <c r="C9" s="49">
        <v>100</v>
      </c>
      <c r="D9" s="49">
        <v>250</v>
      </c>
      <c r="E9" s="49">
        <v>500</v>
      </c>
      <c r="F9" s="728">
        <v>500</v>
      </c>
      <c r="G9" s="728">
        <v>500</v>
      </c>
      <c r="H9" s="728">
        <v>500</v>
      </c>
      <c r="I9" s="728">
        <v>500</v>
      </c>
    </row>
    <row r="10" spans="1:9" s="123" customFormat="1" ht="18.75" customHeight="1" x14ac:dyDescent="0.3">
      <c r="A10" s="63" t="s">
        <v>568</v>
      </c>
      <c r="B10" s="49">
        <v>750</v>
      </c>
      <c r="C10" s="49">
        <v>500</v>
      </c>
      <c r="D10" s="49">
        <v>6000</v>
      </c>
      <c r="E10" s="49">
        <v>1200</v>
      </c>
      <c r="F10" s="728">
        <v>1200</v>
      </c>
      <c r="G10" s="728">
        <v>600</v>
      </c>
      <c r="H10" s="728">
        <v>600</v>
      </c>
      <c r="I10" s="728">
        <v>900</v>
      </c>
    </row>
    <row r="11" spans="1:9" s="123" customFormat="1" ht="18.75" customHeight="1" x14ac:dyDescent="0.3">
      <c r="A11" s="63" t="s">
        <v>131</v>
      </c>
      <c r="B11" s="49">
        <v>3000</v>
      </c>
      <c r="C11" s="49">
        <v>9000</v>
      </c>
      <c r="D11" s="49">
        <v>10000</v>
      </c>
      <c r="E11" s="49">
        <v>10000</v>
      </c>
      <c r="F11" s="728">
        <v>10000</v>
      </c>
      <c r="G11" s="728">
        <v>17000</v>
      </c>
      <c r="H11" s="728">
        <v>18000</v>
      </c>
      <c r="I11" s="728">
        <v>18000</v>
      </c>
    </row>
    <row r="12" spans="1:9" s="123" customFormat="1" ht="18.75" customHeight="1" x14ac:dyDescent="0.3">
      <c r="A12" s="63" t="s">
        <v>128</v>
      </c>
      <c r="B12" s="49">
        <v>3000</v>
      </c>
      <c r="C12" s="49">
        <v>8000</v>
      </c>
      <c r="D12" s="49">
        <v>8000</v>
      </c>
      <c r="E12" s="49">
        <v>8000</v>
      </c>
      <c r="F12" s="728">
        <v>8000</v>
      </c>
      <c r="G12" s="728">
        <v>8000</v>
      </c>
      <c r="H12" s="728">
        <v>8000</v>
      </c>
      <c r="I12" s="728">
        <v>8500</v>
      </c>
    </row>
    <row r="13" spans="1:9" s="123" customFormat="1" ht="18.75" hidden="1" customHeight="1" x14ac:dyDescent="0.3">
      <c r="A13" s="233" t="s">
        <v>261</v>
      </c>
      <c r="B13" s="797">
        <v>1200</v>
      </c>
      <c r="C13" s="797">
        <v>1800</v>
      </c>
      <c r="D13" s="797">
        <f>150*12</f>
        <v>1800</v>
      </c>
      <c r="E13" s="797">
        <v>0</v>
      </c>
      <c r="F13" s="798"/>
      <c r="G13" s="798"/>
      <c r="H13" s="798"/>
      <c r="I13" s="798"/>
    </row>
    <row r="14" spans="1:9" ht="18" customHeight="1" x14ac:dyDescent="0.3">
      <c r="A14" s="234" t="s">
        <v>488</v>
      </c>
      <c r="B14" s="551">
        <v>800</v>
      </c>
      <c r="C14" s="551">
        <v>720</v>
      </c>
      <c r="D14" s="551">
        <f>(30*2*12)</f>
        <v>720</v>
      </c>
      <c r="E14" s="551">
        <f>(25*2*12)</f>
        <v>600</v>
      </c>
      <c r="F14" s="721">
        <v>600</v>
      </c>
      <c r="G14" s="721">
        <v>600</v>
      </c>
      <c r="H14" s="721">
        <f>64*12*2</f>
        <v>1536</v>
      </c>
      <c r="I14" s="721">
        <f>65*12*2</f>
        <v>1560</v>
      </c>
    </row>
    <row r="15" spans="1:9" ht="18.75" customHeight="1" x14ac:dyDescent="0.3">
      <c r="A15" s="233" t="s">
        <v>794</v>
      </c>
      <c r="B15" s="795">
        <v>625</v>
      </c>
      <c r="C15" s="795">
        <v>625</v>
      </c>
      <c r="D15" s="795">
        <v>650</v>
      </c>
      <c r="E15" s="795">
        <v>625</v>
      </c>
      <c r="F15" s="783">
        <v>700</v>
      </c>
      <c r="G15" s="783">
        <v>700</v>
      </c>
      <c r="H15" s="783">
        <v>700</v>
      </c>
      <c r="I15" s="783">
        <v>700</v>
      </c>
    </row>
    <row r="16" spans="1:9" ht="18.75" customHeight="1" x14ac:dyDescent="0.3">
      <c r="A16" s="250" t="s">
        <v>545</v>
      </c>
      <c r="B16" s="637"/>
      <c r="C16" s="637">
        <v>2000</v>
      </c>
      <c r="D16" s="637">
        <v>2000</v>
      </c>
      <c r="E16" s="637">
        <v>6000</v>
      </c>
      <c r="F16" s="724">
        <v>1200</v>
      </c>
      <c r="G16" s="724">
        <v>1200</v>
      </c>
      <c r="H16" s="724">
        <v>1200</v>
      </c>
      <c r="I16" s="724">
        <v>1400</v>
      </c>
    </row>
    <row r="17" spans="1:9" ht="18.75" customHeight="1" x14ac:dyDescent="0.3">
      <c r="A17" s="250" t="s">
        <v>416</v>
      </c>
      <c r="B17" s="637"/>
      <c r="C17" s="637">
        <v>1200</v>
      </c>
      <c r="D17" s="637">
        <v>1500</v>
      </c>
      <c r="E17" s="637">
        <v>1500</v>
      </c>
      <c r="F17" s="724">
        <v>1500</v>
      </c>
      <c r="G17" s="724">
        <v>1500</v>
      </c>
      <c r="H17" s="724">
        <v>1500</v>
      </c>
      <c r="I17" s="724">
        <v>1500</v>
      </c>
    </row>
    <row r="18" spans="1:9" ht="18.75" hidden="1" customHeight="1" x14ac:dyDescent="0.3">
      <c r="A18" s="250" t="s">
        <v>417</v>
      </c>
      <c r="B18" s="637"/>
      <c r="C18" s="637">
        <v>0</v>
      </c>
      <c r="D18" s="637">
        <v>0</v>
      </c>
      <c r="E18" s="637">
        <v>0</v>
      </c>
      <c r="F18" s="724"/>
      <c r="G18" s="724"/>
      <c r="H18" s="724"/>
      <c r="I18" s="724"/>
    </row>
    <row r="19" spans="1:9" ht="18.75" hidden="1" customHeight="1" x14ac:dyDescent="0.3">
      <c r="A19" s="250" t="s">
        <v>418</v>
      </c>
      <c r="B19" s="637"/>
      <c r="C19" s="637">
        <v>0</v>
      </c>
      <c r="D19" s="637">
        <v>0</v>
      </c>
      <c r="E19" s="637">
        <v>0</v>
      </c>
      <c r="F19" s="724"/>
      <c r="G19" s="724"/>
      <c r="H19" s="724"/>
      <c r="I19" s="724"/>
    </row>
    <row r="20" spans="1:9" ht="18.75" hidden="1" customHeight="1" x14ac:dyDescent="0.3">
      <c r="A20" s="250" t="s">
        <v>571</v>
      </c>
      <c r="B20" s="799"/>
      <c r="C20" s="795">
        <v>0</v>
      </c>
      <c r="D20" s="795">
        <f>300*18</f>
        <v>5400</v>
      </c>
      <c r="E20" s="795">
        <f>1200*8</f>
        <v>9600</v>
      </c>
      <c r="F20" s="783"/>
      <c r="G20" s="783"/>
      <c r="H20" s="783"/>
      <c r="I20" s="783"/>
    </row>
    <row r="21" spans="1:9" ht="18.75" hidden="1" customHeight="1" x14ac:dyDescent="0.3">
      <c r="A21" s="250" t="s">
        <v>569</v>
      </c>
      <c r="B21" s="799"/>
      <c r="C21" s="795">
        <v>0</v>
      </c>
      <c r="D21" s="795">
        <v>0</v>
      </c>
      <c r="E21" s="795">
        <f>550+500</f>
        <v>1050</v>
      </c>
      <c r="F21" s="783">
        <v>1100</v>
      </c>
      <c r="G21" s="783">
        <v>0</v>
      </c>
      <c r="H21" s="783">
        <v>0</v>
      </c>
      <c r="I21" s="783">
        <v>0</v>
      </c>
    </row>
    <row r="22" spans="1:9" ht="18.75" hidden="1" customHeight="1" x14ac:dyDescent="0.3">
      <c r="A22" s="250" t="s">
        <v>505</v>
      </c>
      <c r="B22" s="799"/>
      <c r="C22" s="795">
        <v>0</v>
      </c>
      <c r="D22" s="795">
        <v>0</v>
      </c>
      <c r="E22" s="795">
        <f>500+564</f>
        <v>1064</v>
      </c>
      <c r="F22" s="783">
        <v>1100</v>
      </c>
      <c r="G22" s="783">
        <v>0</v>
      </c>
      <c r="H22" s="783">
        <v>0</v>
      </c>
      <c r="I22" s="783">
        <v>0</v>
      </c>
    </row>
    <row r="23" spans="1:9" ht="18.75" customHeight="1" x14ac:dyDescent="0.3">
      <c r="A23" s="250" t="s">
        <v>544</v>
      </c>
      <c r="B23" s="799"/>
      <c r="C23" s="795"/>
      <c r="D23" s="795"/>
      <c r="E23" s="795">
        <v>12000</v>
      </c>
      <c r="F23" s="783">
        <v>16000</v>
      </c>
      <c r="G23" s="783">
        <v>16000</v>
      </c>
      <c r="H23" s="783">
        <v>16000</v>
      </c>
      <c r="I23" s="783">
        <v>6000</v>
      </c>
    </row>
    <row r="24" spans="1:9" ht="18.75" customHeight="1" x14ac:dyDescent="0.3">
      <c r="A24" s="250" t="s">
        <v>570</v>
      </c>
      <c r="B24" s="799"/>
      <c r="C24" s="795"/>
      <c r="D24" s="795"/>
      <c r="E24" s="795">
        <f>300*4</f>
        <v>1200</v>
      </c>
      <c r="F24" s="783">
        <v>1200</v>
      </c>
      <c r="G24" s="783">
        <v>1200</v>
      </c>
      <c r="H24" s="783">
        <v>1200</v>
      </c>
      <c r="I24" s="783">
        <v>1400</v>
      </c>
    </row>
    <row r="25" spans="1:9" ht="18.75" hidden="1" customHeight="1" x14ac:dyDescent="0.3">
      <c r="A25" s="250" t="s">
        <v>582</v>
      </c>
      <c r="B25" s="800"/>
      <c r="C25" s="637"/>
      <c r="D25" s="637"/>
      <c r="E25" s="637"/>
      <c r="F25" s="724">
        <v>20000</v>
      </c>
      <c r="G25" s="724">
        <v>0</v>
      </c>
      <c r="H25" s="724">
        <v>0</v>
      </c>
      <c r="I25" s="724">
        <v>0</v>
      </c>
    </row>
    <row r="26" spans="1:9" ht="18.75" hidden="1" customHeight="1" x14ac:dyDescent="0.3">
      <c r="A26" s="250" t="s">
        <v>593</v>
      </c>
      <c r="B26" s="800"/>
      <c r="C26" s="637"/>
      <c r="D26" s="637"/>
      <c r="E26" s="637"/>
      <c r="F26" s="724">
        <v>1800</v>
      </c>
      <c r="G26" s="724">
        <v>0</v>
      </c>
      <c r="H26" s="724">
        <v>0</v>
      </c>
      <c r="I26" s="724">
        <v>0</v>
      </c>
    </row>
    <row r="27" spans="1:9" ht="18.75" customHeight="1" x14ac:dyDescent="0.3">
      <c r="A27" s="250" t="s">
        <v>749</v>
      </c>
      <c r="B27" s="800"/>
      <c r="C27" s="637"/>
      <c r="D27" s="637"/>
      <c r="E27" s="637"/>
      <c r="F27" s="724">
        <v>3600</v>
      </c>
      <c r="G27" s="724">
        <v>30000</v>
      </c>
      <c r="H27" s="724">
        <v>35000</v>
      </c>
      <c r="I27" s="724">
        <v>0</v>
      </c>
    </row>
    <row r="28" spans="1:9" ht="18.75" customHeight="1" x14ac:dyDescent="0.3">
      <c r="A28" s="250" t="s">
        <v>584</v>
      </c>
      <c r="B28" s="800"/>
      <c r="C28" s="637"/>
      <c r="D28" s="637"/>
      <c r="E28" s="637"/>
      <c r="F28" s="724">
        <v>5000</v>
      </c>
      <c r="G28" s="724">
        <v>5000</v>
      </c>
      <c r="H28" s="724">
        <v>5000</v>
      </c>
      <c r="I28" s="724">
        <v>5000</v>
      </c>
    </row>
    <row r="29" spans="1:9" ht="18.75" customHeight="1" x14ac:dyDescent="0.3">
      <c r="A29" s="250" t="s">
        <v>748</v>
      </c>
      <c r="B29" s="800"/>
      <c r="C29" s="637"/>
      <c r="D29" s="637"/>
      <c r="E29" s="637"/>
      <c r="F29" s="724">
        <v>0</v>
      </c>
      <c r="G29" s="724">
        <v>5000</v>
      </c>
      <c r="H29" s="724">
        <v>0</v>
      </c>
      <c r="I29" s="724">
        <v>10000</v>
      </c>
    </row>
    <row r="30" spans="1:9" ht="18.75" customHeight="1" x14ac:dyDescent="0.3">
      <c r="A30" s="250" t="s">
        <v>774</v>
      </c>
      <c r="B30" s="800"/>
      <c r="C30" s="637"/>
      <c r="D30" s="637"/>
      <c r="E30" s="637"/>
      <c r="F30" s="724">
        <v>0</v>
      </c>
      <c r="G30" s="724">
        <v>0</v>
      </c>
      <c r="H30" s="724">
        <v>12000</v>
      </c>
      <c r="I30" s="724">
        <v>14000</v>
      </c>
    </row>
    <row r="31" spans="1:9" ht="18.75" customHeight="1" x14ac:dyDescent="0.3">
      <c r="A31" s="250" t="s">
        <v>682</v>
      </c>
      <c r="B31" s="800"/>
      <c r="C31" s="637"/>
      <c r="D31" s="637"/>
      <c r="E31" s="637"/>
      <c r="F31" s="724">
        <v>0</v>
      </c>
      <c r="G31" s="724">
        <v>0</v>
      </c>
      <c r="H31" s="724">
        <v>4000</v>
      </c>
      <c r="I31" s="724">
        <v>3000</v>
      </c>
    </row>
    <row r="32" spans="1:9" ht="18.75" customHeight="1" x14ac:dyDescent="0.3">
      <c r="A32" s="250" t="s">
        <v>696</v>
      </c>
      <c r="B32" s="800"/>
      <c r="C32" s="637"/>
      <c r="D32" s="637"/>
      <c r="E32" s="637"/>
      <c r="F32" s="724"/>
      <c r="G32" s="724"/>
      <c r="H32" s="724">
        <v>9000</v>
      </c>
      <c r="I32" s="724"/>
    </row>
    <row r="33" spans="1:9" ht="18.75" customHeight="1" x14ac:dyDescent="0.3">
      <c r="A33" s="250" t="s">
        <v>773</v>
      </c>
      <c r="B33" s="800"/>
      <c r="C33" s="637"/>
      <c r="D33" s="637"/>
      <c r="E33" s="637"/>
      <c r="F33" s="724"/>
      <c r="G33" s="724"/>
      <c r="H33" s="724"/>
      <c r="I33" s="724">
        <v>1200</v>
      </c>
    </row>
    <row r="34" spans="1:9" ht="18.75" customHeight="1" x14ac:dyDescent="0.3">
      <c r="A34" s="250" t="s">
        <v>776</v>
      </c>
      <c r="B34" s="800"/>
      <c r="C34" s="637"/>
      <c r="D34" s="637"/>
      <c r="E34" s="637"/>
      <c r="F34" s="724"/>
      <c r="G34" s="724"/>
      <c r="H34" s="724"/>
      <c r="I34" s="724">
        <v>4500</v>
      </c>
    </row>
    <row r="35" spans="1:9" ht="18.75" customHeight="1" x14ac:dyDescent="0.3">
      <c r="A35" s="250" t="s">
        <v>777</v>
      </c>
      <c r="B35" s="800"/>
      <c r="C35" s="637"/>
      <c r="D35" s="637"/>
      <c r="E35" s="637"/>
      <c r="F35" s="724"/>
      <c r="G35" s="724"/>
      <c r="H35" s="724"/>
      <c r="I35" s="724">
        <f>15300+5000</f>
        <v>20300</v>
      </c>
    </row>
    <row r="36" spans="1:9" ht="18.75" customHeight="1" x14ac:dyDescent="0.3">
      <c r="A36" s="250" t="s">
        <v>793</v>
      </c>
      <c r="B36" s="800"/>
      <c r="C36" s="637"/>
      <c r="D36" s="637"/>
      <c r="E36" s="637"/>
      <c r="F36" s="724"/>
      <c r="G36" s="724"/>
      <c r="H36" s="724"/>
      <c r="I36" s="724">
        <v>7000</v>
      </c>
    </row>
    <row r="37" spans="1:9" ht="18.75" customHeight="1" thickBot="1" x14ac:dyDescent="0.35">
      <c r="A37" s="250"/>
      <c r="B37" s="801">
        <v>4500</v>
      </c>
      <c r="C37" s="802"/>
      <c r="D37" s="802"/>
      <c r="E37" s="802"/>
      <c r="F37" s="803"/>
      <c r="G37" s="803"/>
      <c r="H37" s="803"/>
      <c r="I37" s="803"/>
    </row>
    <row r="38" spans="1:9" ht="18.75" customHeight="1" thickTop="1" x14ac:dyDescent="0.3">
      <c r="A38" s="103" t="s">
        <v>122</v>
      </c>
      <c r="B38" s="796">
        <f t="shared" ref="B38:D38" si="0">SUM(B4:B37)</f>
        <v>28725</v>
      </c>
      <c r="C38" s="796">
        <f t="shared" si="0"/>
        <v>42495</v>
      </c>
      <c r="D38" s="796">
        <f t="shared" si="0"/>
        <v>55752</v>
      </c>
      <c r="E38" s="796">
        <f>SUM(E4:E37)</f>
        <v>66811</v>
      </c>
      <c r="F38" s="774">
        <f>SUM(F4:F37)</f>
        <v>87400</v>
      </c>
      <c r="G38" s="774">
        <f>SUM(G4:G37)</f>
        <v>102200</v>
      </c>
      <c r="H38" s="774">
        <f>SUM(H4:H37)</f>
        <v>129136</v>
      </c>
      <c r="I38" s="774">
        <f>SUM(I4:I37)</f>
        <v>119560</v>
      </c>
    </row>
    <row r="39" spans="1:9" s="46" customFormat="1" ht="18.75" customHeight="1" x14ac:dyDescent="0.3">
      <c r="A39" s="111"/>
      <c r="B39" s="111"/>
    </row>
    <row r="40" spans="1:9" ht="18.75" customHeight="1" x14ac:dyDescent="0.3">
      <c r="A40" s="111" t="s">
        <v>775</v>
      </c>
      <c r="B40" s="111"/>
    </row>
    <row r="41" spans="1:9" ht="18.75" customHeight="1" x14ac:dyDescent="0.3">
      <c r="A41" s="111"/>
      <c r="B41" s="111"/>
    </row>
    <row r="42" spans="1:9" ht="18.75" customHeight="1" x14ac:dyDescent="0.3">
      <c r="A42" s="111"/>
      <c r="B42" s="111"/>
    </row>
    <row r="43" spans="1:9" ht="18.75" customHeight="1" x14ac:dyDescent="0.3">
      <c r="A43" s="111"/>
      <c r="B43" s="111"/>
    </row>
  </sheetData>
  <phoneticPr fontId="20" type="noConversion"/>
  <printOptions horizontalCentered="1"/>
  <pageMargins left="0.5" right="0.25" top="1" bottom="1" header="0.5" footer="0.5"/>
  <pageSetup orientation="portrait" r:id="rId1"/>
  <headerFooter alignWithMargins="0">
    <oddFooter>&amp;L&amp;F, &amp;A&amp;R&amp;D, &amp;T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I22"/>
  <sheetViews>
    <sheetView workbookViewId="0">
      <pane ySplit="3" topLeftCell="A4" activePane="bottomLeft" state="frozen"/>
      <selection pane="bottomLeft"/>
    </sheetView>
  </sheetViews>
  <sheetFormatPr defaultRowHeight="18.75" customHeight="1" x14ac:dyDescent="0.2"/>
  <cols>
    <col min="1" max="1" width="43.85546875" style="14" customWidth="1"/>
    <col min="2" max="2" width="11" style="15" hidden="1" customWidth="1"/>
    <col min="3" max="6" width="11" style="96" hidden="1" customWidth="1"/>
    <col min="7" max="8" width="11" style="96" customWidth="1"/>
    <col min="9" max="16384" width="9.140625" style="96"/>
  </cols>
  <sheetData>
    <row r="1" spans="1:9" s="182" customFormat="1" ht="18.75" customHeight="1" x14ac:dyDescent="0.3">
      <c r="A1" s="216" t="s">
        <v>546</v>
      </c>
      <c r="B1" s="203"/>
      <c r="C1" s="203"/>
      <c r="D1" s="203"/>
      <c r="E1" s="203"/>
      <c r="F1" s="203"/>
      <c r="G1" s="203"/>
      <c r="H1" s="203"/>
      <c r="I1" s="203"/>
    </row>
    <row r="2" spans="1:9" ht="18.75" customHeight="1" x14ac:dyDescent="0.3">
      <c r="A2" s="98"/>
      <c r="B2" s="49"/>
      <c r="C2" s="49"/>
      <c r="D2" s="49"/>
      <c r="E2" s="49"/>
      <c r="F2" s="49"/>
      <c r="G2" s="49"/>
      <c r="H2" s="49"/>
      <c r="I2" s="49"/>
    </row>
    <row r="3" spans="1:9" s="182" customFormat="1" ht="18.75" customHeight="1" x14ac:dyDescent="0.3">
      <c r="A3" s="509" t="s">
        <v>124</v>
      </c>
      <c r="B3" s="510">
        <v>2010</v>
      </c>
      <c r="C3" s="510">
        <v>2013</v>
      </c>
      <c r="D3" s="510">
        <v>2014</v>
      </c>
      <c r="E3" s="510">
        <v>2015</v>
      </c>
      <c r="F3" s="510">
        <v>2016</v>
      </c>
      <c r="G3" s="510">
        <v>2017</v>
      </c>
      <c r="H3" s="510">
        <v>2018</v>
      </c>
      <c r="I3" s="510">
        <v>2019</v>
      </c>
    </row>
    <row r="4" spans="1:9" s="182" customFormat="1" ht="18.75" customHeight="1" x14ac:dyDescent="0.3">
      <c r="A4" s="507"/>
      <c r="B4" s="508"/>
      <c r="C4" s="508"/>
      <c r="D4" s="508"/>
      <c r="E4" s="508"/>
      <c r="F4" s="758"/>
      <c r="G4" s="758"/>
      <c r="H4" s="758"/>
      <c r="I4" s="758"/>
    </row>
    <row r="5" spans="1:9" s="182" customFormat="1" ht="18.75" customHeight="1" x14ac:dyDescent="0.3">
      <c r="A5" s="63" t="s">
        <v>623</v>
      </c>
      <c r="B5" s="49">
        <v>100</v>
      </c>
      <c r="C5" s="49">
        <v>200</v>
      </c>
      <c r="D5" s="49">
        <v>200</v>
      </c>
      <c r="E5" s="49">
        <v>200</v>
      </c>
      <c r="F5" s="728">
        <v>200</v>
      </c>
      <c r="G5" s="728">
        <v>200</v>
      </c>
      <c r="H5" s="728">
        <v>200</v>
      </c>
      <c r="I5" s="728">
        <v>200</v>
      </c>
    </row>
    <row r="6" spans="1:9" s="182" customFormat="1" ht="18.75" customHeight="1" x14ac:dyDescent="0.3">
      <c r="A6" s="63" t="s">
        <v>179</v>
      </c>
      <c r="B6" s="49">
        <v>1000</v>
      </c>
      <c r="C6" s="49">
        <v>600</v>
      </c>
      <c r="D6" s="49">
        <v>600</v>
      </c>
      <c r="E6" s="49">
        <v>600</v>
      </c>
      <c r="F6" s="728">
        <v>600</v>
      </c>
      <c r="G6" s="728">
        <v>600</v>
      </c>
      <c r="H6" s="728">
        <v>600</v>
      </c>
      <c r="I6" s="728">
        <v>600</v>
      </c>
    </row>
    <row r="7" spans="1:9" s="182" customFormat="1" ht="18.75" customHeight="1" x14ac:dyDescent="0.3">
      <c r="A7" s="63" t="s">
        <v>181</v>
      </c>
      <c r="B7" s="49">
        <v>300</v>
      </c>
      <c r="C7" s="49">
        <v>500</v>
      </c>
      <c r="D7" s="49">
        <v>600</v>
      </c>
      <c r="E7" s="49">
        <v>600</v>
      </c>
      <c r="F7" s="728">
        <v>600</v>
      </c>
      <c r="G7" s="728">
        <v>800</v>
      </c>
      <c r="H7" s="728">
        <v>800</v>
      </c>
      <c r="I7" s="728">
        <v>1000</v>
      </c>
    </row>
    <row r="8" spans="1:9" s="182" customFormat="1" ht="18.75" customHeight="1" x14ac:dyDescent="0.3">
      <c r="A8" s="110" t="s">
        <v>750</v>
      </c>
      <c r="B8" s="49">
        <v>6900</v>
      </c>
      <c r="C8" s="49">
        <v>2400</v>
      </c>
      <c r="D8" s="49">
        <f>2400+600+600</f>
        <v>3600</v>
      </c>
      <c r="E8" s="49">
        <f>(176.9*2*12)</f>
        <v>4245.6000000000004</v>
      </c>
      <c r="F8" s="728">
        <f>(176.9*2*12)</f>
        <v>4245.6000000000004</v>
      </c>
      <c r="G8" s="728">
        <f>(176.9*2*12)</f>
        <v>4245.6000000000004</v>
      </c>
      <c r="H8" s="728">
        <f>(176.9*2*12)</f>
        <v>4245.6000000000004</v>
      </c>
      <c r="I8" s="728">
        <v>1400</v>
      </c>
    </row>
    <row r="9" spans="1:9" s="182" customFormat="1" ht="18.75" customHeight="1" x14ac:dyDescent="0.3">
      <c r="A9" s="63" t="s">
        <v>178</v>
      </c>
      <c r="B9" s="49">
        <v>600</v>
      </c>
      <c r="C9" s="49">
        <v>500</v>
      </c>
      <c r="D9" s="49">
        <v>600</v>
      </c>
      <c r="E9" s="49">
        <v>600</v>
      </c>
      <c r="F9" s="728">
        <v>700</v>
      </c>
      <c r="G9" s="728">
        <v>800</v>
      </c>
      <c r="H9" s="728">
        <v>800</v>
      </c>
      <c r="I9" s="728">
        <v>1500</v>
      </c>
    </row>
    <row r="10" spans="1:9" ht="18.75" customHeight="1" x14ac:dyDescent="0.3">
      <c r="A10" s="63" t="s">
        <v>177</v>
      </c>
      <c r="B10" s="49">
        <v>100</v>
      </c>
      <c r="C10" s="49">
        <v>100</v>
      </c>
      <c r="D10" s="49">
        <v>100</v>
      </c>
      <c r="E10" s="49">
        <v>100</v>
      </c>
      <c r="F10" s="728">
        <v>150</v>
      </c>
      <c r="G10" s="728">
        <v>150</v>
      </c>
      <c r="H10" s="728">
        <v>150</v>
      </c>
      <c r="I10" s="728">
        <v>250</v>
      </c>
    </row>
    <row r="11" spans="1:9" ht="18.75" customHeight="1" x14ac:dyDescent="0.3">
      <c r="A11" s="63" t="s">
        <v>624</v>
      </c>
      <c r="B11" s="49">
        <v>2200</v>
      </c>
      <c r="C11" s="49">
        <v>1500</v>
      </c>
      <c r="D11" s="49">
        <v>1600</v>
      </c>
      <c r="E11" s="49">
        <v>1600</v>
      </c>
      <c r="F11" s="728">
        <v>1600</v>
      </c>
      <c r="G11" s="728">
        <v>1600</v>
      </c>
      <c r="H11" s="728">
        <v>1600</v>
      </c>
      <c r="I11" s="728">
        <v>1200</v>
      </c>
    </row>
    <row r="12" spans="1:9" ht="18.75" customHeight="1" x14ac:dyDescent="0.3">
      <c r="A12" s="63" t="s">
        <v>180</v>
      </c>
      <c r="B12" s="49">
        <v>500</v>
      </c>
      <c r="C12" s="49">
        <v>300</v>
      </c>
      <c r="D12" s="49">
        <v>250</v>
      </c>
      <c r="E12" s="49">
        <v>200</v>
      </c>
      <c r="F12" s="728">
        <v>200</v>
      </c>
      <c r="G12" s="728">
        <v>250</v>
      </c>
      <c r="H12" s="728">
        <v>250</v>
      </c>
      <c r="I12" s="728">
        <v>1200</v>
      </c>
    </row>
    <row r="13" spans="1:9" ht="18.75" customHeight="1" x14ac:dyDescent="0.3">
      <c r="A13" s="63" t="s">
        <v>625</v>
      </c>
      <c r="B13" s="49"/>
      <c r="C13" s="49">
        <v>750</v>
      </c>
      <c r="D13" s="49">
        <v>700</v>
      </c>
      <c r="E13" s="49">
        <v>700</v>
      </c>
      <c r="F13" s="728">
        <v>700</v>
      </c>
      <c r="G13" s="728">
        <v>700</v>
      </c>
      <c r="H13" s="728">
        <v>1500</v>
      </c>
      <c r="I13" s="728">
        <v>2200</v>
      </c>
    </row>
    <row r="14" spans="1:9" ht="18.75" customHeight="1" x14ac:dyDescent="0.3">
      <c r="A14" s="63" t="s">
        <v>626</v>
      </c>
      <c r="B14" s="49"/>
      <c r="C14" s="49">
        <v>750</v>
      </c>
      <c r="D14" s="49">
        <f>750+800</f>
        <v>1550</v>
      </c>
      <c r="E14" s="49">
        <v>1600</v>
      </c>
      <c r="F14" s="728">
        <v>1600</v>
      </c>
      <c r="G14" s="728">
        <v>1600</v>
      </c>
      <c r="H14" s="728">
        <v>1600</v>
      </c>
      <c r="I14" s="728">
        <v>1750</v>
      </c>
    </row>
    <row r="15" spans="1:9" ht="18.75" customHeight="1" x14ac:dyDescent="0.3">
      <c r="A15" s="55"/>
      <c r="B15" s="49"/>
      <c r="C15" s="49"/>
      <c r="D15" s="49"/>
      <c r="E15" s="49"/>
      <c r="F15" s="728"/>
      <c r="G15" s="728"/>
      <c r="H15" s="728"/>
      <c r="I15" s="728"/>
    </row>
    <row r="16" spans="1:9" ht="18.75" customHeight="1" x14ac:dyDescent="0.3">
      <c r="A16" s="55"/>
      <c r="B16" s="49"/>
      <c r="C16" s="49"/>
      <c r="D16" s="49"/>
      <c r="E16" s="49"/>
      <c r="F16" s="728"/>
      <c r="G16" s="728"/>
      <c r="H16" s="728"/>
      <c r="I16" s="728"/>
    </row>
    <row r="17" spans="1:9" ht="18.75" customHeight="1" x14ac:dyDescent="0.3">
      <c r="A17" s="55"/>
      <c r="B17" s="102"/>
      <c r="C17" s="102"/>
      <c r="D17" s="102"/>
      <c r="E17" s="102"/>
      <c r="F17" s="759"/>
      <c r="G17" s="759"/>
      <c r="H17" s="759"/>
      <c r="I17" s="759"/>
    </row>
    <row r="18" spans="1:9" ht="18.75" customHeight="1" x14ac:dyDescent="0.3">
      <c r="A18" s="55"/>
      <c r="B18" s="102"/>
      <c r="C18" s="102"/>
      <c r="D18" s="102"/>
      <c r="E18" s="102"/>
      <c r="F18" s="759"/>
      <c r="G18" s="759"/>
      <c r="H18" s="759"/>
      <c r="I18" s="759"/>
    </row>
    <row r="19" spans="1:9" ht="18.75" customHeight="1" thickBot="1" x14ac:dyDescent="0.35">
      <c r="A19" s="55"/>
      <c r="B19" s="102">
        <v>-3400</v>
      </c>
      <c r="C19" s="102"/>
      <c r="D19" s="102"/>
      <c r="E19" s="102"/>
      <c r="F19" s="759"/>
      <c r="G19" s="759"/>
      <c r="H19" s="759"/>
      <c r="I19" s="759"/>
    </row>
    <row r="20" spans="1:9" ht="18.75" customHeight="1" thickTop="1" x14ac:dyDescent="0.3">
      <c r="A20" s="103" t="s">
        <v>122</v>
      </c>
      <c r="B20" s="89">
        <f t="shared" ref="B20:H20" si="0">SUM(B4:B19)</f>
        <v>8300</v>
      </c>
      <c r="C20" s="89">
        <f t="shared" si="0"/>
        <v>7600</v>
      </c>
      <c r="D20" s="89">
        <f t="shared" si="0"/>
        <v>9800</v>
      </c>
      <c r="E20" s="89">
        <f t="shared" si="0"/>
        <v>10445.6</v>
      </c>
      <c r="F20" s="760">
        <f t="shared" si="0"/>
        <v>10595.6</v>
      </c>
      <c r="G20" s="760">
        <f t="shared" ref="G20" si="1">SUM(G4:G19)</f>
        <v>10945.6</v>
      </c>
      <c r="H20" s="760">
        <f t="shared" si="0"/>
        <v>11745.6</v>
      </c>
      <c r="I20" s="760">
        <f t="shared" ref="I20" si="2">SUM(I4:I19)</f>
        <v>11300</v>
      </c>
    </row>
    <row r="21" spans="1:9" ht="18.75" customHeight="1" x14ac:dyDescent="0.3">
      <c r="A21" s="97"/>
      <c r="B21" s="45"/>
      <c r="C21" s="27"/>
    </row>
    <row r="22" spans="1:9" ht="18.75" customHeight="1" x14ac:dyDescent="0.3">
      <c r="A22" s="97"/>
      <c r="B22" s="45"/>
      <c r="C22" s="27"/>
    </row>
  </sheetData>
  <phoneticPr fontId="20" type="noConversion"/>
  <printOptions horizontalCentered="1"/>
  <pageMargins left="0.5" right="0.25" top="1" bottom="1" header="0.5" footer="0.5"/>
  <pageSetup orientation="portrait" r:id="rId1"/>
  <headerFooter alignWithMargins="0">
    <oddFooter>&amp;L&amp;F, &amp;A&amp;R&amp;D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I18"/>
  <sheetViews>
    <sheetView workbookViewId="0">
      <pane ySplit="3" topLeftCell="A4" activePane="bottomLeft" state="frozen"/>
      <selection pane="bottomLeft"/>
    </sheetView>
  </sheetViews>
  <sheetFormatPr defaultRowHeight="18.75" customHeight="1" x14ac:dyDescent="0.3"/>
  <cols>
    <col min="1" max="1" width="42.140625" style="97" customWidth="1"/>
    <col min="2" max="2" width="10.7109375" style="45" hidden="1" customWidth="1"/>
    <col min="3" max="6" width="10.7109375" style="27" hidden="1" customWidth="1"/>
    <col min="7" max="8" width="10.7109375" style="27" customWidth="1"/>
    <col min="9" max="16384" width="9.140625" style="27"/>
  </cols>
  <sheetData>
    <row r="1" spans="1:9" s="46" customFormat="1" ht="18.75" customHeight="1" x14ac:dyDescent="0.3">
      <c r="A1" s="216" t="s">
        <v>547</v>
      </c>
      <c r="B1" s="203"/>
      <c r="C1" s="190"/>
      <c r="D1" s="190"/>
      <c r="E1" s="190"/>
      <c r="F1" s="190"/>
      <c r="G1" s="190"/>
      <c r="H1" s="190"/>
      <c r="I1" s="190"/>
    </row>
    <row r="2" spans="1:9" ht="18.75" customHeight="1" x14ac:dyDescent="0.3">
      <c r="A2" s="98"/>
      <c r="B2" s="49"/>
      <c r="C2" s="98"/>
      <c r="D2" s="98"/>
      <c r="E2" s="98"/>
      <c r="F2" s="98"/>
      <c r="G2" s="98"/>
      <c r="H2" s="98"/>
      <c r="I2" s="98"/>
    </row>
    <row r="3" spans="1:9" s="46" customFormat="1" ht="18.75" customHeight="1" x14ac:dyDescent="0.3">
      <c r="A3" s="41" t="s">
        <v>124</v>
      </c>
      <c r="B3" s="41">
        <v>2010</v>
      </c>
      <c r="C3" s="41">
        <v>2013</v>
      </c>
      <c r="D3" s="41">
        <v>2014</v>
      </c>
      <c r="E3" s="41">
        <v>2015</v>
      </c>
      <c r="F3" s="41">
        <v>2016</v>
      </c>
      <c r="G3" s="41">
        <v>2017</v>
      </c>
      <c r="H3" s="41">
        <v>2018</v>
      </c>
      <c r="I3" s="41">
        <v>2019</v>
      </c>
    </row>
    <row r="4" spans="1:9" s="123" customFormat="1" ht="18.75" customHeight="1" x14ac:dyDescent="0.3">
      <c r="A4" s="117"/>
      <c r="B4" s="117"/>
      <c r="C4" s="117"/>
      <c r="D4" s="117"/>
      <c r="E4" s="117"/>
      <c r="F4" s="716"/>
      <c r="G4" s="716"/>
      <c r="H4" s="716"/>
      <c r="I4" s="716"/>
    </row>
    <row r="5" spans="1:9" s="123" customFormat="1" ht="24.95" customHeight="1" x14ac:dyDescent="0.3">
      <c r="A5" s="63" t="s">
        <v>497</v>
      </c>
      <c r="B5" s="192">
        <v>4500</v>
      </c>
      <c r="C5" s="192">
        <v>3000</v>
      </c>
      <c r="D5" s="192">
        <v>3200</v>
      </c>
      <c r="E5" s="192">
        <v>2600</v>
      </c>
      <c r="F5" s="676">
        <v>2600</v>
      </c>
      <c r="G5" s="676">
        <v>2600</v>
      </c>
      <c r="H5" s="676">
        <v>2600</v>
      </c>
      <c r="I5" s="676">
        <v>3000</v>
      </c>
    </row>
    <row r="6" spans="1:9" s="123" customFormat="1" ht="24.95" customHeight="1" x14ac:dyDescent="0.3">
      <c r="A6" s="63" t="s">
        <v>498</v>
      </c>
      <c r="B6" s="192">
        <v>200</v>
      </c>
      <c r="C6" s="192">
        <v>200</v>
      </c>
      <c r="D6" s="192">
        <v>300</v>
      </c>
      <c r="E6" s="192">
        <v>300</v>
      </c>
      <c r="F6" s="676">
        <v>300</v>
      </c>
      <c r="G6" s="676">
        <v>300</v>
      </c>
      <c r="H6" s="676">
        <v>300</v>
      </c>
      <c r="I6" s="676">
        <v>500</v>
      </c>
    </row>
    <row r="7" spans="1:9" s="235" customFormat="1" ht="24.95" customHeight="1" x14ac:dyDescent="0.3">
      <c r="A7" s="120" t="s">
        <v>594</v>
      </c>
      <c r="B7" s="192">
        <v>3500</v>
      </c>
      <c r="C7" s="192">
        <v>5000</v>
      </c>
      <c r="D7" s="192">
        <v>5000</v>
      </c>
      <c r="E7" s="192">
        <v>3500</v>
      </c>
      <c r="F7" s="676">
        <v>3800</v>
      </c>
      <c r="G7" s="676">
        <v>3800</v>
      </c>
      <c r="H7" s="676">
        <v>3800</v>
      </c>
      <c r="I7" s="676">
        <v>4000</v>
      </c>
    </row>
    <row r="8" spans="1:9" ht="24.95" customHeight="1" x14ac:dyDescent="0.3">
      <c r="A8" s="63" t="s">
        <v>4</v>
      </c>
      <c r="B8" s="56">
        <v>600</v>
      </c>
      <c r="C8" s="56">
        <v>500</v>
      </c>
      <c r="D8" s="56">
        <v>600</v>
      </c>
      <c r="E8" s="56">
        <v>600</v>
      </c>
      <c r="F8" s="665">
        <v>600</v>
      </c>
      <c r="G8" s="665">
        <v>600</v>
      </c>
      <c r="H8" s="665">
        <v>800</v>
      </c>
      <c r="I8" s="665">
        <v>800</v>
      </c>
    </row>
    <row r="9" spans="1:9" ht="24.95" customHeight="1" x14ac:dyDescent="0.3">
      <c r="A9" s="69" t="s">
        <v>500</v>
      </c>
      <c r="B9" s="56">
        <v>140</v>
      </c>
      <c r="C9" s="56">
        <v>500</v>
      </c>
      <c r="D9" s="56">
        <v>500</v>
      </c>
      <c r="E9" s="56">
        <v>400</v>
      </c>
      <c r="F9" s="665">
        <v>400</v>
      </c>
      <c r="G9" s="665">
        <v>400</v>
      </c>
      <c r="H9" s="665">
        <v>500</v>
      </c>
      <c r="I9" s="665">
        <v>600</v>
      </c>
    </row>
    <row r="10" spans="1:9" ht="24.95" customHeight="1" x14ac:dyDescent="0.3">
      <c r="A10" s="63" t="s">
        <v>310</v>
      </c>
      <c r="B10" s="56">
        <v>450</v>
      </c>
      <c r="C10" s="56">
        <v>500</v>
      </c>
      <c r="D10" s="56">
        <v>600</v>
      </c>
      <c r="E10" s="56">
        <v>600</v>
      </c>
      <c r="F10" s="665">
        <v>600</v>
      </c>
      <c r="G10" s="665">
        <v>600</v>
      </c>
      <c r="H10" s="665">
        <v>600</v>
      </c>
      <c r="I10" s="665">
        <v>750</v>
      </c>
    </row>
    <row r="11" spans="1:9" ht="24.95" customHeight="1" x14ac:dyDescent="0.3">
      <c r="A11" s="63" t="s">
        <v>350</v>
      </c>
      <c r="B11" s="56">
        <v>200</v>
      </c>
      <c r="C11" s="56">
        <v>300</v>
      </c>
      <c r="D11" s="56">
        <v>350</v>
      </c>
      <c r="E11" s="56">
        <v>350</v>
      </c>
      <c r="F11" s="665">
        <v>350</v>
      </c>
      <c r="G11" s="665">
        <v>350</v>
      </c>
      <c r="H11" s="665">
        <v>400</v>
      </c>
      <c r="I11" s="665">
        <v>500</v>
      </c>
    </row>
    <row r="12" spans="1:9" ht="24.95" customHeight="1" x14ac:dyDescent="0.3">
      <c r="A12" s="63" t="s">
        <v>499</v>
      </c>
      <c r="B12" s="56"/>
      <c r="C12" s="56"/>
      <c r="D12" s="56"/>
      <c r="E12" s="58">
        <v>2000</v>
      </c>
      <c r="F12" s="666">
        <v>2250</v>
      </c>
      <c r="G12" s="666">
        <v>2250</v>
      </c>
      <c r="H12" s="666">
        <v>2400</v>
      </c>
      <c r="I12" s="666">
        <v>2500</v>
      </c>
    </row>
    <row r="13" spans="1:9" ht="24.95" customHeight="1" x14ac:dyDescent="0.3">
      <c r="A13" s="63"/>
      <c r="B13" s="56"/>
      <c r="C13" s="56"/>
      <c r="D13" s="56"/>
      <c r="E13" s="56"/>
      <c r="F13" s="665"/>
      <c r="G13" s="665"/>
      <c r="H13" s="665"/>
      <c r="I13" s="665"/>
    </row>
    <row r="14" spans="1:9" ht="24.95" customHeight="1" x14ac:dyDescent="0.3">
      <c r="A14" s="469"/>
      <c r="B14" s="56"/>
      <c r="C14" s="56"/>
      <c r="D14" s="56"/>
      <c r="E14" s="56"/>
      <c r="F14" s="665"/>
      <c r="G14" s="665"/>
      <c r="H14" s="665"/>
      <c r="I14" s="665"/>
    </row>
    <row r="15" spans="1:9" ht="24.95" customHeight="1" thickBot="1" x14ac:dyDescent="0.35">
      <c r="A15" s="462"/>
      <c r="B15" s="271">
        <v>-2000</v>
      </c>
      <c r="C15" s="271"/>
      <c r="D15" s="271"/>
      <c r="E15" s="271"/>
      <c r="F15" s="755"/>
      <c r="G15" s="755"/>
      <c r="H15" s="755"/>
      <c r="I15" s="755"/>
    </row>
    <row r="16" spans="1:9" s="46" customFormat="1" ht="24.95" customHeight="1" thickTop="1" x14ac:dyDescent="0.3">
      <c r="A16" s="103" t="s">
        <v>122</v>
      </c>
      <c r="B16" s="202">
        <f t="shared" ref="B16:H16" si="0">SUM(B4:B15)</f>
        <v>7590</v>
      </c>
      <c r="C16" s="202">
        <f t="shared" si="0"/>
        <v>10000</v>
      </c>
      <c r="D16" s="202">
        <f t="shared" si="0"/>
        <v>10550</v>
      </c>
      <c r="E16" s="202">
        <f t="shared" si="0"/>
        <v>10350</v>
      </c>
      <c r="F16" s="679">
        <f t="shared" si="0"/>
        <v>10900</v>
      </c>
      <c r="G16" s="679">
        <f t="shared" ref="G16" si="1">SUM(G4:G15)</f>
        <v>10900</v>
      </c>
      <c r="H16" s="679">
        <f t="shared" si="0"/>
        <v>11400</v>
      </c>
      <c r="I16" s="679">
        <f t="shared" ref="I16" si="2">SUM(I4:I15)</f>
        <v>12650</v>
      </c>
    </row>
    <row r="18" spans="1:1" ht="18.75" customHeight="1" x14ac:dyDescent="0.3">
      <c r="A18" s="135"/>
    </row>
  </sheetData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18"/>
  <sheetViews>
    <sheetView workbookViewId="0"/>
  </sheetViews>
  <sheetFormatPr defaultRowHeight="18.75" customHeight="1" x14ac:dyDescent="0.3"/>
  <cols>
    <col min="1" max="1" width="35.28515625" style="97" customWidth="1"/>
    <col min="2" max="2" width="10.7109375" style="45" hidden="1" customWidth="1"/>
    <col min="3" max="6" width="10.7109375" style="27" hidden="1" customWidth="1"/>
    <col min="7" max="8" width="10.7109375" style="27" customWidth="1"/>
    <col min="9" max="16384" width="9.140625" style="27"/>
  </cols>
  <sheetData>
    <row r="1" spans="1:9" s="46" customFormat="1" ht="18.75" customHeight="1" x14ac:dyDescent="0.3">
      <c r="A1" s="216" t="s">
        <v>548</v>
      </c>
      <c r="B1" s="203"/>
      <c r="C1" s="203"/>
      <c r="D1" s="203"/>
      <c r="E1" s="203"/>
      <c r="F1" s="203"/>
      <c r="G1" s="203"/>
      <c r="H1" s="203"/>
      <c r="I1" s="203"/>
    </row>
    <row r="2" spans="1:9" ht="18.75" customHeight="1" x14ac:dyDescent="0.3">
      <c r="A2" s="98"/>
      <c r="B2" s="49"/>
      <c r="C2" s="49"/>
      <c r="D2" s="49"/>
      <c r="E2" s="49"/>
      <c r="F2" s="49"/>
      <c r="G2" s="49"/>
      <c r="H2" s="49"/>
      <c r="I2" s="49"/>
    </row>
    <row r="3" spans="1:9" s="46" customFormat="1" ht="18.75" customHeight="1" x14ac:dyDescent="0.3">
      <c r="A3" s="41" t="s">
        <v>124</v>
      </c>
      <c r="B3" s="99">
        <v>2010</v>
      </c>
      <c r="C3" s="99">
        <v>2013</v>
      </c>
      <c r="D3" s="99">
        <v>2014</v>
      </c>
      <c r="E3" s="99">
        <v>2015</v>
      </c>
      <c r="F3" s="99">
        <v>2016</v>
      </c>
      <c r="G3" s="99">
        <v>2017</v>
      </c>
      <c r="H3" s="99">
        <v>2018</v>
      </c>
      <c r="I3" s="99">
        <v>2019</v>
      </c>
    </row>
    <row r="4" spans="1:9" s="123" customFormat="1" ht="18.75" customHeight="1" x14ac:dyDescent="0.3">
      <c r="A4" s="101"/>
      <c r="B4" s="222"/>
      <c r="C4" s="222"/>
      <c r="D4" s="222"/>
      <c r="E4" s="222"/>
      <c r="F4" s="747"/>
      <c r="G4" s="747"/>
      <c r="H4" s="747"/>
      <c r="I4" s="747"/>
    </row>
    <row r="5" spans="1:9" s="46" customFormat="1" ht="18.75" customHeight="1" x14ac:dyDescent="0.3">
      <c r="A5" s="63"/>
      <c r="B5" s="36"/>
      <c r="C5" s="36"/>
      <c r="D5" s="36"/>
      <c r="E5" s="36"/>
      <c r="F5" s="733"/>
      <c r="G5" s="733"/>
      <c r="H5" s="733"/>
      <c r="I5" s="733"/>
    </row>
    <row r="6" spans="1:9" s="46" customFormat="1" ht="18.75" customHeight="1" x14ac:dyDescent="0.3">
      <c r="A6" s="63" t="s">
        <v>751</v>
      </c>
      <c r="B6" s="36">
        <v>210</v>
      </c>
      <c r="C6" s="36">
        <v>320</v>
      </c>
      <c r="D6" s="795">
        <v>320</v>
      </c>
      <c r="E6" s="795">
        <v>300</v>
      </c>
      <c r="F6" s="783">
        <v>300</v>
      </c>
      <c r="G6" s="783">
        <v>300</v>
      </c>
      <c r="H6" s="783">
        <v>300</v>
      </c>
      <c r="I6" s="783">
        <v>350</v>
      </c>
    </row>
    <row r="7" spans="1:9" s="46" customFormat="1" ht="18.75" customHeight="1" x14ac:dyDescent="0.3">
      <c r="A7" s="63" t="s">
        <v>683</v>
      </c>
      <c r="B7" s="36">
        <v>70</v>
      </c>
      <c r="C7" s="36">
        <v>45</v>
      </c>
      <c r="D7" s="795">
        <v>45</v>
      </c>
      <c r="E7" s="795">
        <v>45</v>
      </c>
      <c r="F7" s="783">
        <v>45</v>
      </c>
      <c r="G7" s="783">
        <v>45</v>
      </c>
      <c r="H7" s="783">
        <v>45</v>
      </c>
      <c r="I7" s="783">
        <v>50</v>
      </c>
    </row>
    <row r="8" spans="1:9" s="46" customFormat="1" ht="18.75" customHeight="1" x14ac:dyDescent="0.3">
      <c r="A8" s="63" t="s">
        <v>644</v>
      </c>
      <c r="B8" s="36">
        <v>1000</v>
      </c>
      <c r="C8" s="36">
        <v>1000</v>
      </c>
      <c r="D8" s="795">
        <v>1500</v>
      </c>
      <c r="E8" s="795">
        <f>500+750+1500</f>
        <v>2750</v>
      </c>
      <c r="F8" s="783">
        <v>3100</v>
      </c>
      <c r="G8" s="783">
        <v>750</v>
      </c>
      <c r="H8" s="783">
        <v>800</v>
      </c>
      <c r="I8" s="783">
        <v>850</v>
      </c>
    </row>
    <row r="9" spans="1:9" s="46" customFormat="1" ht="18.75" customHeight="1" x14ac:dyDescent="0.3">
      <c r="A9" s="124"/>
      <c r="B9" s="36"/>
      <c r="C9" s="36"/>
      <c r="D9" s="36"/>
      <c r="E9" s="36"/>
      <c r="F9" s="733"/>
      <c r="G9" s="733"/>
      <c r="H9" s="733"/>
      <c r="I9" s="733"/>
    </row>
    <row r="10" spans="1:9" ht="18.75" customHeight="1" x14ac:dyDescent="0.3">
      <c r="A10" s="124"/>
      <c r="B10" s="36"/>
      <c r="C10" s="36"/>
      <c r="D10" s="36"/>
      <c r="E10" s="36"/>
      <c r="F10" s="733"/>
      <c r="G10" s="733"/>
      <c r="H10" s="733"/>
      <c r="I10" s="733"/>
    </row>
    <row r="11" spans="1:9" ht="18.75" customHeight="1" x14ac:dyDescent="0.3">
      <c r="A11" s="98"/>
      <c r="B11" s="36"/>
      <c r="C11" s="36"/>
      <c r="D11" s="36"/>
      <c r="E11" s="36"/>
      <c r="F11" s="733"/>
      <c r="G11" s="733"/>
      <c r="H11" s="733"/>
      <c r="I11" s="733"/>
    </row>
    <row r="12" spans="1:9" ht="18.75" customHeight="1" thickBot="1" x14ac:dyDescent="0.35">
      <c r="A12" s="55"/>
      <c r="B12" s="50">
        <v>-75</v>
      </c>
      <c r="C12" s="50"/>
      <c r="D12" s="50"/>
      <c r="E12" s="50"/>
      <c r="F12" s="723"/>
      <c r="G12" s="723"/>
      <c r="H12" s="723"/>
      <c r="I12" s="723"/>
    </row>
    <row r="13" spans="1:9" s="46" customFormat="1" ht="18.75" customHeight="1" thickTop="1" x14ac:dyDescent="0.3">
      <c r="A13" s="103" t="s">
        <v>122</v>
      </c>
      <c r="B13" s="796">
        <f t="shared" ref="B13:H13" si="0">SUM(B4:B12)</f>
        <v>1205</v>
      </c>
      <c r="C13" s="796">
        <f t="shared" si="0"/>
        <v>1365</v>
      </c>
      <c r="D13" s="796">
        <f t="shared" si="0"/>
        <v>1865</v>
      </c>
      <c r="E13" s="796">
        <f t="shared" si="0"/>
        <v>3095</v>
      </c>
      <c r="F13" s="774">
        <f t="shared" si="0"/>
        <v>3445</v>
      </c>
      <c r="G13" s="774">
        <f t="shared" ref="G13" si="1">SUM(G4:G12)</f>
        <v>1095</v>
      </c>
      <c r="H13" s="774">
        <f t="shared" si="0"/>
        <v>1145</v>
      </c>
      <c r="I13" s="774">
        <f t="shared" ref="I13" si="2">SUM(I4:I12)</f>
        <v>1250</v>
      </c>
    </row>
    <row r="15" spans="1:9" ht="18.75" customHeight="1" x14ac:dyDescent="0.3">
      <c r="A15" s="236"/>
      <c r="B15" s="136"/>
    </row>
    <row r="16" spans="1:9" ht="18.75" customHeight="1" x14ac:dyDescent="0.3">
      <c r="A16" s="236"/>
      <c r="B16" s="136"/>
    </row>
    <row r="17" spans="1:1" ht="18.75" customHeight="1" x14ac:dyDescent="0.3">
      <c r="A17" s="17"/>
    </row>
    <row r="18" spans="1:1" ht="18.75" customHeight="1" x14ac:dyDescent="0.3">
      <c r="A18" s="17"/>
    </row>
  </sheetData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M28"/>
  <sheetViews>
    <sheetView workbookViewId="0"/>
  </sheetViews>
  <sheetFormatPr defaultRowHeight="18.75" customHeight="1" x14ac:dyDescent="0.3"/>
  <cols>
    <col min="1" max="1" width="40.28515625" style="97" bestFit="1" customWidth="1"/>
    <col min="2" max="2" width="10.42578125" style="45" hidden="1" customWidth="1"/>
    <col min="3" max="6" width="10.42578125" style="27" hidden="1" customWidth="1"/>
    <col min="7" max="8" width="10.42578125" style="27" customWidth="1"/>
    <col min="9" max="16384" width="9.140625" style="27"/>
  </cols>
  <sheetData>
    <row r="1" spans="1:13" s="46" customFormat="1" ht="18.75" customHeight="1" x14ac:dyDescent="0.3">
      <c r="A1" s="216" t="s">
        <v>549</v>
      </c>
      <c r="B1" s="203"/>
      <c r="C1" s="203"/>
      <c r="D1" s="203"/>
      <c r="E1" s="203"/>
      <c r="F1" s="203"/>
      <c r="G1" s="203"/>
      <c r="H1" s="203"/>
      <c r="I1" s="203"/>
    </row>
    <row r="2" spans="1:13" ht="18.75" customHeight="1" x14ac:dyDescent="0.3">
      <c r="A2" s="98"/>
      <c r="B2" s="49"/>
      <c r="C2" s="49"/>
      <c r="D2" s="49"/>
      <c r="E2" s="49"/>
      <c r="F2" s="49"/>
      <c r="G2" s="49"/>
      <c r="H2" s="49"/>
      <c r="I2" s="49"/>
    </row>
    <row r="3" spans="1:13" s="46" customFormat="1" ht="18.75" customHeight="1" x14ac:dyDescent="0.3">
      <c r="A3" s="104" t="s">
        <v>124</v>
      </c>
      <c r="B3" s="99">
        <v>2010</v>
      </c>
      <c r="C3" s="99">
        <v>2013</v>
      </c>
      <c r="D3" s="99">
        <v>2014</v>
      </c>
      <c r="E3" s="99">
        <v>2015</v>
      </c>
      <c r="F3" s="99">
        <v>2016</v>
      </c>
      <c r="G3" s="99">
        <v>2017</v>
      </c>
      <c r="H3" s="99">
        <v>2018</v>
      </c>
      <c r="I3" s="99">
        <v>2019</v>
      </c>
    </row>
    <row r="4" spans="1:13" s="123" customFormat="1" ht="16.5" x14ac:dyDescent="0.3">
      <c r="A4" s="54"/>
      <c r="B4" s="118"/>
      <c r="C4" s="118"/>
      <c r="D4" s="118"/>
      <c r="E4" s="118"/>
      <c r="F4" s="763"/>
      <c r="G4" s="763"/>
      <c r="H4" s="763"/>
      <c r="I4" s="763"/>
    </row>
    <row r="5" spans="1:13" s="46" customFormat="1" ht="18" customHeight="1" x14ac:dyDescent="0.3">
      <c r="A5" s="54" t="s">
        <v>154</v>
      </c>
      <c r="B5" s="61">
        <v>75</v>
      </c>
      <c r="C5" s="61">
        <v>200</v>
      </c>
      <c r="D5" s="61">
        <v>200</v>
      </c>
      <c r="E5" s="61">
        <v>200</v>
      </c>
      <c r="F5" s="729">
        <v>300</v>
      </c>
      <c r="G5" s="729">
        <f>200*3</f>
        <v>600</v>
      </c>
      <c r="H5" s="729">
        <f>200*4</f>
        <v>800</v>
      </c>
      <c r="I5" s="729">
        <f>200*4</f>
        <v>800</v>
      </c>
      <c r="J5" s="92" t="s">
        <v>752</v>
      </c>
    </row>
    <row r="6" spans="1:13" ht="18" customHeight="1" x14ac:dyDescent="0.3">
      <c r="A6" s="786" t="s">
        <v>477</v>
      </c>
      <c r="B6" s="787">
        <v>200</v>
      </c>
      <c r="C6" s="787">
        <v>200</v>
      </c>
      <c r="D6" s="787">
        <v>200</v>
      </c>
      <c r="E6" s="787">
        <v>200</v>
      </c>
      <c r="F6" s="788">
        <v>200</v>
      </c>
      <c r="G6" s="788">
        <v>200</v>
      </c>
      <c r="H6" s="788">
        <v>200</v>
      </c>
      <c r="I6" s="788">
        <v>250</v>
      </c>
      <c r="J6" s="92"/>
    </row>
    <row r="7" spans="1:13" ht="18" hidden="1" customHeight="1" x14ac:dyDescent="0.3">
      <c r="A7" s="54" t="s">
        <v>377</v>
      </c>
      <c r="B7" s="61"/>
      <c r="C7" s="61">
        <v>30</v>
      </c>
      <c r="D7" s="61">
        <v>30</v>
      </c>
      <c r="E7" s="636"/>
      <c r="F7" s="732"/>
      <c r="G7" s="732"/>
      <c r="H7" s="732"/>
      <c r="I7" s="732"/>
      <c r="J7" s="92" t="s">
        <v>357</v>
      </c>
    </row>
    <row r="8" spans="1:13" ht="18" hidden="1" customHeight="1" x14ac:dyDescent="0.3">
      <c r="A8" s="63" t="s">
        <v>75</v>
      </c>
      <c r="B8" s="61">
        <v>100</v>
      </c>
      <c r="C8" s="61">
        <v>125</v>
      </c>
      <c r="D8" s="61">
        <v>125</v>
      </c>
      <c r="E8" s="636"/>
      <c r="F8" s="732"/>
      <c r="G8" s="732"/>
      <c r="H8" s="732"/>
      <c r="I8" s="732"/>
      <c r="J8" s="92" t="s">
        <v>357</v>
      </c>
    </row>
    <row r="9" spans="1:13" ht="18" hidden="1" customHeight="1" x14ac:dyDescent="0.3">
      <c r="A9" s="54" t="s">
        <v>25</v>
      </c>
      <c r="B9" s="61">
        <v>75</v>
      </c>
      <c r="C9" s="61">
        <v>75</v>
      </c>
      <c r="D9" s="61">
        <v>75</v>
      </c>
      <c r="E9" s="636"/>
      <c r="F9" s="732"/>
      <c r="G9" s="732"/>
      <c r="H9" s="732"/>
      <c r="I9" s="732"/>
      <c r="J9" s="92" t="s">
        <v>357</v>
      </c>
      <c r="K9" s="111"/>
      <c r="L9" s="111"/>
      <c r="M9" s="111"/>
    </row>
    <row r="10" spans="1:13" ht="18" customHeight="1" x14ac:dyDescent="0.3">
      <c r="A10" s="63" t="s">
        <v>509</v>
      </c>
      <c r="B10" s="49">
        <v>440</v>
      </c>
      <c r="C10" s="49">
        <v>234</v>
      </c>
      <c r="D10" s="49">
        <v>234</v>
      </c>
      <c r="E10" s="551">
        <v>234</v>
      </c>
      <c r="F10" s="721">
        <v>275</v>
      </c>
      <c r="G10" s="721">
        <v>289</v>
      </c>
      <c r="H10" s="721">
        <v>264</v>
      </c>
      <c r="I10" s="721">
        <v>264</v>
      </c>
      <c r="J10" s="92" t="s">
        <v>442</v>
      </c>
    </row>
    <row r="11" spans="1:13" ht="18" customHeight="1" x14ac:dyDescent="0.3">
      <c r="A11" s="54" t="s">
        <v>323</v>
      </c>
      <c r="B11" s="61">
        <v>200</v>
      </c>
      <c r="C11" s="61">
        <v>200</v>
      </c>
      <c r="D11" s="61">
        <v>200</v>
      </c>
      <c r="E11" s="636">
        <v>200</v>
      </c>
      <c r="F11" s="732">
        <v>200</v>
      </c>
      <c r="G11" s="732">
        <v>200</v>
      </c>
      <c r="H11" s="732">
        <v>200</v>
      </c>
      <c r="I11" s="732">
        <v>250</v>
      </c>
      <c r="J11" s="92"/>
    </row>
    <row r="12" spans="1:13" ht="18" customHeight="1" x14ac:dyDescent="0.3">
      <c r="A12" s="54" t="s">
        <v>419</v>
      </c>
      <c r="B12" s="61"/>
      <c r="C12" s="61">
        <v>85</v>
      </c>
      <c r="D12" s="61">
        <v>85</v>
      </c>
      <c r="E12" s="636">
        <v>90</v>
      </c>
      <c r="F12" s="732">
        <v>90</v>
      </c>
      <c r="G12" s="732">
        <v>90</v>
      </c>
      <c r="H12" s="732">
        <v>90</v>
      </c>
      <c r="I12" s="732">
        <v>180</v>
      </c>
      <c r="J12" s="92" t="s">
        <v>753</v>
      </c>
    </row>
    <row r="13" spans="1:13" ht="18" customHeight="1" x14ac:dyDescent="0.3">
      <c r="A13" s="54" t="s">
        <v>790</v>
      </c>
      <c r="B13" s="61">
        <v>150</v>
      </c>
      <c r="C13" s="61">
        <v>165</v>
      </c>
      <c r="D13" s="61">
        <v>1165</v>
      </c>
      <c r="E13" s="636">
        <v>1165</v>
      </c>
      <c r="F13" s="732">
        <v>165</v>
      </c>
      <c r="G13" s="732">
        <v>165</v>
      </c>
      <c r="H13" s="732">
        <v>195</v>
      </c>
      <c r="I13" s="732">
        <v>195</v>
      </c>
      <c r="J13" s="92"/>
    </row>
    <row r="14" spans="1:13" ht="18" customHeight="1" x14ac:dyDescent="0.3">
      <c r="A14" s="54" t="s">
        <v>374</v>
      </c>
      <c r="B14" s="61"/>
      <c r="C14" s="61">
        <v>350</v>
      </c>
      <c r="D14" s="61">
        <v>350</v>
      </c>
      <c r="E14" s="636">
        <v>350</v>
      </c>
      <c r="F14" s="732">
        <v>500</v>
      </c>
      <c r="G14" s="732">
        <v>500</v>
      </c>
      <c r="H14" s="732">
        <v>400</v>
      </c>
      <c r="I14" s="732">
        <v>375</v>
      </c>
      <c r="J14" s="92" t="s">
        <v>588</v>
      </c>
    </row>
    <row r="15" spans="1:13" ht="18" customHeight="1" x14ac:dyDescent="0.3">
      <c r="A15" s="54" t="s">
        <v>311</v>
      </c>
      <c r="B15" s="61">
        <v>1000</v>
      </c>
      <c r="C15" s="61">
        <v>1000</v>
      </c>
      <c r="D15" s="61">
        <v>1000</v>
      </c>
      <c r="E15" s="636">
        <v>1100</v>
      </c>
      <c r="F15" s="732">
        <v>1250</v>
      </c>
      <c r="G15" s="732">
        <v>1250</v>
      </c>
      <c r="H15" s="732">
        <v>1400</v>
      </c>
      <c r="I15" s="732">
        <v>1400</v>
      </c>
      <c r="J15" s="92"/>
    </row>
    <row r="16" spans="1:13" ht="18" customHeight="1" x14ac:dyDescent="0.3">
      <c r="A16" s="54" t="s">
        <v>671</v>
      </c>
      <c r="B16" s="61">
        <v>175</v>
      </c>
      <c r="C16" s="61">
        <v>105</v>
      </c>
      <c r="D16" s="61">
        <f>4*35</f>
        <v>140</v>
      </c>
      <c r="E16" s="636">
        <f>4*35</f>
        <v>140</v>
      </c>
      <c r="F16" s="732">
        <f>(5*55)+55</f>
        <v>330</v>
      </c>
      <c r="G16" s="732">
        <f>(5*55)+((4*55)+110)</f>
        <v>605</v>
      </c>
      <c r="H16" s="732">
        <f>(4*55)+((4*60)+120)</f>
        <v>580</v>
      </c>
      <c r="I16" s="732">
        <f>(4*55)+((4*60)+120)</f>
        <v>580</v>
      </c>
      <c r="J16" s="279"/>
    </row>
    <row r="17" spans="1:10" ht="18" customHeight="1" x14ac:dyDescent="0.3">
      <c r="A17" s="52" t="s">
        <v>247</v>
      </c>
      <c r="B17" s="61">
        <v>75</v>
      </c>
      <c r="C17" s="61">
        <v>75</v>
      </c>
      <c r="D17" s="61">
        <v>75</v>
      </c>
      <c r="E17" s="636">
        <v>75</v>
      </c>
      <c r="F17" s="732">
        <v>75</v>
      </c>
      <c r="G17" s="732">
        <v>75</v>
      </c>
      <c r="H17" s="732">
        <v>75</v>
      </c>
      <c r="I17" s="732">
        <v>76</v>
      </c>
      <c r="J17" s="92"/>
    </row>
    <row r="18" spans="1:10" ht="18" customHeight="1" x14ac:dyDescent="0.3">
      <c r="A18" s="52" t="s">
        <v>41</v>
      </c>
      <c r="B18" s="61">
        <v>100</v>
      </c>
      <c r="C18" s="61">
        <v>200</v>
      </c>
      <c r="D18" s="61">
        <v>200</v>
      </c>
      <c r="E18" s="636">
        <v>200</v>
      </c>
      <c r="F18" s="732">
        <v>300</v>
      </c>
      <c r="G18" s="732">
        <f>150+(100*2)</f>
        <v>350</v>
      </c>
      <c r="H18" s="732">
        <f>150+(100*3)</f>
        <v>450</v>
      </c>
      <c r="I18" s="732">
        <f>150+(50*3)</f>
        <v>300</v>
      </c>
      <c r="J18" s="92" t="s">
        <v>752</v>
      </c>
    </row>
    <row r="19" spans="1:10" ht="18" hidden="1" customHeight="1" x14ac:dyDescent="0.3">
      <c r="A19" s="52" t="s">
        <v>510</v>
      </c>
      <c r="B19" s="61"/>
      <c r="C19" s="61">
        <v>22</v>
      </c>
      <c r="D19" s="61">
        <v>22</v>
      </c>
      <c r="E19" s="636"/>
      <c r="F19" s="732"/>
      <c r="G19" s="732"/>
      <c r="H19" s="732"/>
      <c r="I19" s="732"/>
      <c r="J19" s="92" t="s">
        <v>357</v>
      </c>
    </row>
    <row r="20" spans="1:10" ht="18" hidden="1" customHeight="1" x14ac:dyDescent="0.3">
      <c r="A20" s="52" t="s">
        <v>508</v>
      </c>
      <c r="B20" s="61"/>
      <c r="C20" s="61"/>
      <c r="D20" s="61"/>
      <c r="E20" s="636">
        <v>50</v>
      </c>
      <c r="F20" s="732">
        <v>50</v>
      </c>
      <c r="G20" s="732">
        <v>75</v>
      </c>
      <c r="H20" s="732">
        <v>50</v>
      </c>
      <c r="I20" s="732">
        <v>0</v>
      </c>
      <c r="J20" s="92"/>
    </row>
    <row r="21" spans="1:10" ht="18" customHeight="1" x14ac:dyDescent="0.3">
      <c r="A21" s="52"/>
      <c r="B21" s="61"/>
      <c r="C21" s="61"/>
      <c r="D21" s="61"/>
      <c r="E21" s="636"/>
      <c r="F21" s="732"/>
      <c r="G21" s="732"/>
      <c r="H21" s="732"/>
      <c r="I21" s="732"/>
      <c r="J21" s="92"/>
    </row>
    <row r="22" spans="1:10" ht="18" customHeight="1" x14ac:dyDescent="0.3">
      <c r="A22" s="52"/>
      <c r="B22" s="61"/>
      <c r="C22" s="61"/>
      <c r="D22" s="61"/>
      <c r="E22" s="636"/>
      <c r="F22" s="732"/>
      <c r="G22" s="732"/>
      <c r="H22" s="732"/>
      <c r="I22" s="732"/>
      <c r="J22" s="92"/>
    </row>
    <row r="23" spans="1:10" ht="18" customHeight="1" x14ac:dyDescent="0.3">
      <c r="A23" s="789"/>
      <c r="B23" s="790">
        <v>-700</v>
      </c>
      <c r="C23" s="790"/>
      <c r="D23" s="790"/>
      <c r="E23" s="791"/>
      <c r="F23" s="792"/>
      <c r="G23" s="792"/>
      <c r="H23" s="792"/>
      <c r="I23" s="792"/>
      <c r="J23" s="92"/>
    </row>
    <row r="24" spans="1:10" ht="18" customHeight="1" x14ac:dyDescent="0.3">
      <c r="A24" s="793" t="s">
        <v>122</v>
      </c>
      <c r="B24" s="441">
        <f>SUM(B4:B23)</f>
        <v>1890</v>
      </c>
      <c r="C24" s="441">
        <f>SUM(C4:C23)</f>
        <v>3066</v>
      </c>
      <c r="D24" s="441">
        <f>SUM(D4:D23)</f>
        <v>4101</v>
      </c>
      <c r="E24" s="441">
        <f>SUM(E5:E23)</f>
        <v>4004</v>
      </c>
      <c r="F24" s="794">
        <f>SUM(F5:F23)</f>
        <v>3735</v>
      </c>
      <c r="G24" s="794">
        <f>SUM(G5:G23)</f>
        <v>4399</v>
      </c>
      <c r="H24" s="794">
        <f>SUM(H5:H23)</f>
        <v>4704</v>
      </c>
      <c r="I24" s="794">
        <f>SUM(I5:I23)</f>
        <v>4670</v>
      </c>
      <c r="J24" s="248"/>
    </row>
    <row r="25" spans="1:10" s="46" customFormat="1" ht="22.5" customHeight="1" x14ac:dyDescent="0.3">
      <c r="A25" s="97"/>
      <c r="B25" s="45"/>
      <c r="C25" s="27"/>
      <c r="D25" s="27"/>
      <c r="E25" s="27"/>
      <c r="F25" s="27"/>
      <c r="G25" s="27"/>
      <c r="H25" s="27"/>
      <c r="I25" s="27"/>
    </row>
    <row r="26" spans="1:10" ht="18.75" customHeight="1" x14ac:dyDescent="0.3">
      <c r="A26" s="17"/>
    </row>
    <row r="27" spans="1:10" ht="18.75" customHeight="1" x14ac:dyDescent="0.3">
      <c r="A27" s="237"/>
    </row>
    <row r="28" spans="1:10" ht="18.75" customHeight="1" x14ac:dyDescent="0.3">
      <c r="A28" s="237"/>
    </row>
  </sheetData>
  <sortState ref="A5:F25">
    <sortCondition ref="A5"/>
  </sortState>
  <phoneticPr fontId="20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I112"/>
  <sheetViews>
    <sheetView workbookViewId="0">
      <pane ySplit="3" topLeftCell="A4" activePane="bottomLeft" state="frozen"/>
      <selection pane="bottomLeft"/>
    </sheetView>
  </sheetViews>
  <sheetFormatPr defaultRowHeight="18.75" customHeight="1" x14ac:dyDescent="0.3"/>
  <cols>
    <col min="1" max="1" width="38.28515625" style="97" bestFit="1" customWidth="1"/>
    <col min="2" max="2" width="11.7109375" style="45" hidden="1" customWidth="1"/>
    <col min="3" max="4" width="11.7109375" style="27" hidden="1" customWidth="1"/>
    <col min="5" max="6" width="11.42578125" style="27" hidden="1" customWidth="1"/>
    <col min="7" max="8" width="11.42578125" style="27" customWidth="1"/>
    <col min="9" max="16384" width="9.140625" style="27"/>
  </cols>
  <sheetData>
    <row r="1" spans="1:9" s="199" customFormat="1" ht="18.75" customHeight="1" x14ac:dyDescent="0.3">
      <c r="A1" s="216" t="s">
        <v>550</v>
      </c>
      <c r="B1" s="203"/>
      <c r="C1" s="203"/>
      <c r="D1" s="203"/>
      <c r="E1" s="203"/>
      <c r="F1" s="203"/>
      <c r="G1" s="203"/>
      <c r="H1" s="203"/>
      <c r="I1" s="203"/>
    </row>
    <row r="2" spans="1:9" ht="12.75" customHeight="1" x14ac:dyDescent="0.3">
      <c r="A2" s="98"/>
      <c r="B2" s="49"/>
      <c r="C2" s="49"/>
      <c r="D2" s="49"/>
      <c r="E2" s="49"/>
      <c r="F2" s="49"/>
      <c r="G2" s="49"/>
      <c r="H2" s="49"/>
      <c r="I2" s="49"/>
    </row>
    <row r="3" spans="1:9" s="46" customFormat="1" ht="18.75" customHeight="1" x14ac:dyDescent="0.3">
      <c r="A3" s="41" t="s">
        <v>124</v>
      </c>
      <c r="B3" s="99">
        <v>2010</v>
      </c>
      <c r="C3" s="99">
        <v>2013</v>
      </c>
      <c r="D3" s="99">
        <v>2014</v>
      </c>
      <c r="E3" s="99">
        <v>2015</v>
      </c>
      <c r="F3" s="99">
        <v>2016</v>
      </c>
      <c r="G3" s="99">
        <v>2017</v>
      </c>
      <c r="H3" s="99">
        <v>2018</v>
      </c>
      <c r="I3" s="99">
        <v>2019</v>
      </c>
    </row>
    <row r="4" spans="1:9" s="123" customFormat="1" ht="18.75" customHeight="1" x14ac:dyDescent="0.3">
      <c r="A4" s="101"/>
      <c r="B4" s="130"/>
      <c r="C4" s="130"/>
      <c r="D4" s="130"/>
      <c r="E4" s="130"/>
      <c r="F4" s="727"/>
      <c r="G4" s="727"/>
      <c r="H4" s="727"/>
      <c r="I4" s="727"/>
    </row>
    <row r="5" spans="1:9" ht="18" hidden="1" customHeight="1" x14ac:dyDescent="0.3">
      <c r="A5" s="165" t="s">
        <v>0</v>
      </c>
      <c r="B5" s="105">
        <v>300</v>
      </c>
      <c r="C5" s="105">
        <v>500</v>
      </c>
      <c r="D5" s="105">
        <v>500</v>
      </c>
      <c r="E5" s="105">
        <v>500</v>
      </c>
      <c r="F5" s="721">
        <v>500</v>
      </c>
      <c r="G5" s="721">
        <v>0</v>
      </c>
      <c r="H5" s="721">
        <v>0</v>
      </c>
      <c r="I5" s="721">
        <v>0</v>
      </c>
    </row>
    <row r="6" spans="1:9" ht="18" customHeight="1" x14ac:dyDescent="0.3">
      <c r="A6" s="165" t="s">
        <v>501</v>
      </c>
      <c r="B6" s="105">
        <v>300</v>
      </c>
      <c r="C6" s="105">
        <v>250</v>
      </c>
      <c r="D6" s="105">
        <v>0</v>
      </c>
      <c r="E6" s="105">
        <f>50*12</f>
        <v>600</v>
      </c>
      <c r="F6" s="721">
        <f>75*12</f>
        <v>900</v>
      </c>
      <c r="G6" s="721">
        <f>50*12</f>
        <v>600</v>
      </c>
      <c r="H6" s="721">
        <f>30*12</f>
        <v>360</v>
      </c>
      <c r="I6" s="721">
        <f>40*12</f>
        <v>480</v>
      </c>
    </row>
    <row r="7" spans="1:9" ht="18" hidden="1" customHeight="1" x14ac:dyDescent="0.3">
      <c r="A7" s="352" t="s">
        <v>561</v>
      </c>
      <c r="B7" s="353">
        <v>15000</v>
      </c>
      <c r="C7" s="353">
        <v>7200</v>
      </c>
      <c r="D7" s="353">
        <v>7500</v>
      </c>
      <c r="E7" s="353">
        <v>7500</v>
      </c>
      <c r="F7" s="764">
        <v>0</v>
      </c>
      <c r="G7" s="764">
        <v>0</v>
      </c>
      <c r="H7" s="764">
        <v>0</v>
      </c>
      <c r="I7" s="764">
        <v>1</v>
      </c>
    </row>
    <row r="8" spans="1:9" ht="18" customHeight="1" x14ac:dyDescent="0.3">
      <c r="A8" s="165" t="s">
        <v>754</v>
      </c>
      <c r="B8" s="105">
        <v>850</v>
      </c>
      <c r="C8" s="105">
        <v>900</v>
      </c>
      <c r="D8" s="105">
        <v>1000</v>
      </c>
      <c r="E8" s="105">
        <v>895</v>
      </c>
      <c r="F8" s="721">
        <v>950</v>
      </c>
      <c r="G8" s="721">
        <v>1000</v>
      </c>
      <c r="H8" s="721">
        <f>1000+500</f>
        <v>1500</v>
      </c>
      <c r="I8" s="721">
        <f>3800</f>
        <v>3800</v>
      </c>
    </row>
    <row r="9" spans="1:9" ht="18" customHeight="1" x14ac:dyDescent="0.3">
      <c r="A9" s="165" t="s">
        <v>755</v>
      </c>
      <c r="B9" s="105"/>
      <c r="C9" s="105"/>
      <c r="D9" s="105"/>
      <c r="E9" s="105"/>
      <c r="F9" s="721"/>
      <c r="G9" s="721"/>
      <c r="H9" s="721"/>
      <c r="I9" s="721">
        <v>2020</v>
      </c>
    </row>
    <row r="10" spans="1:9" ht="18" customHeight="1" x14ac:dyDescent="0.3">
      <c r="A10" s="352" t="s">
        <v>479</v>
      </c>
      <c r="B10" s="353"/>
      <c r="C10" s="353">
        <v>2400</v>
      </c>
      <c r="D10" s="64">
        <f>60*75</f>
        <v>4500</v>
      </c>
      <c r="E10" s="64">
        <f>60*75</f>
        <v>4500</v>
      </c>
      <c r="F10" s="765">
        <f>66*75</f>
        <v>4950</v>
      </c>
      <c r="G10" s="765">
        <f>66*75</f>
        <v>4950</v>
      </c>
      <c r="H10" s="765">
        <f>66*75</f>
        <v>4950</v>
      </c>
      <c r="I10" s="765">
        <f>80*95</f>
        <v>7600</v>
      </c>
    </row>
    <row r="11" spans="1:9" ht="18" customHeight="1" x14ac:dyDescent="0.3">
      <c r="A11" s="65" t="s">
        <v>756</v>
      </c>
      <c r="B11" s="105">
        <v>200</v>
      </c>
      <c r="C11" s="105">
        <v>400</v>
      </c>
      <c r="D11" s="105">
        <v>500</v>
      </c>
      <c r="E11" s="105">
        <v>500</v>
      </c>
      <c r="F11" s="721">
        <v>450</v>
      </c>
      <c r="G11" s="721">
        <v>1000</v>
      </c>
      <c r="H11" s="721">
        <v>1000</v>
      </c>
      <c r="I11" s="721">
        <v>850</v>
      </c>
    </row>
    <row r="12" spans="1:9" ht="18" customHeight="1" x14ac:dyDescent="0.3">
      <c r="A12" s="65" t="s">
        <v>502</v>
      </c>
      <c r="B12" s="105">
        <v>1000</v>
      </c>
      <c r="C12" s="105">
        <v>2500</v>
      </c>
      <c r="D12" s="105">
        <v>1500</v>
      </c>
      <c r="E12" s="105">
        <f>650*2</f>
        <v>1300</v>
      </c>
      <c r="F12" s="721">
        <f>650*3</f>
        <v>1950</v>
      </c>
      <c r="G12" s="721">
        <f>675*6</f>
        <v>4050</v>
      </c>
      <c r="H12" s="721">
        <f>775*4</f>
        <v>3100</v>
      </c>
      <c r="I12" s="721">
        <f>775*4</f>
        <v>3100</v>
      </c>
    </row>
    <row r="13" spans="1:9" ht="18" customHeight="1" x14ac:dyDescent="0.3">
      <c r="A13" s="352" t="s">
        <v>425</v>
      </c>
      <c r="B13" s="353"/>
      <c r="C13" s="353">
        <v>250</v>
      </c>
      <c r="D13" s="353">
        <v>300</v>
      </c>
      <c r="E13" s="353">
        <v>300</v>
      </c>
      <c r="F13" s="764">
        <v>300</v>
      </c>
      <c r="G13" s="764">
        <v>300</v>
      </c>
      <c r="H13" s="764">
        <v>350</v>
      </c>
      <c r="I13" s="764">
        <v>425</v>
      </c>
    </row>
    <row r="14" spans="1:9" ht="18" customHeight="1" x14ac:dyDescent="0.3">
      <c r="A14" s="65" t="s">
        <v>423</v>
      </c>
      <c r="B14" s="105">
        <v>1000</v>
      </c>
      <c r="C14" s="105">
        <v>200</v>
      </c>
      <c r="D14" s="105">
        <v>2500</v>
      </c>
      <c r="E14" s="105">
        <v>2500</v>
      </c>
      <c r="F14" s="721">
        <v>2500</v>
      </c>
      <c r="G14" s="721">
        <v>2500</v>
      </c>
      <c r="H14" s="721">
        <v>2500</v>
      </c>
      <c r="I14" s="721">
        <v>2500</v>
      </c>
    </row>
    <row r="15" spans="1:9" ht="18" customHeight="1" x14ac:dyDescent="0.3">
      <c r="A15" s="65" t="s">
        <v>424</v>
      </c>
      <c r="B15" s="105">
        <v>500</v>
      </c>
      <c r="C15" s="105">
        <v>500</v>
      </c>
      <c r="D15" s="105">
        <v>500</v>
      </c>
      <c r="E15" s="105">
        <v>500</v>
      </c>
      <c r="F15" s="721">
        <v>600</v>
      </c>
      <c r="G15" s="721">
        <v>600</v>
      </c>
      <c r="H15" s="721">
        <v>600</v>
      </c>
      <c r="I15" s="721">
        <v>600</v>
      </c>
    </row>
    <row r="16" spans="1:9" ht="18" customHeight="1" x14ac:dyDescent="0.3">
      <c r="A16" s="454" t="s">
        <v>666</v>
      </c>
      <c r="B16" s="64"/>
      <c r="C16" s="64">
        <v>8000</v>
      </c>
      <c r="D16" s="64">
        <v>1000</v>
      </c>
      <c r="E16" s="64">
        <v>500</v>
      </c>
      <c r="F16" s="765">
        <v>500</v>
      </c>
      <c r="G16" s="765">
        <v>500</v>
      </c>
      <c r="H16" s="765">
        <v>500</v>
      </c>
      <c r="I16" s="765">
        <v>500</v>
      </c>
    </row>
    <row r="17" spans="1:9" ht="18" hidden="1" customHeight="1" x14ac:dyDescent="0.3">
      <c r="A17" s="455" t="s">
        <v>253</v>
      </c>
      <c r="B17" s="105">
        <v>200</v>
      </c>
      <c r="C17" s="105">
        <v>200</v>
      </c>
      <c r="D17" s="105">
        <v>200</v>
      </c>
      <c r="E17" s="105"/>
      <c r="F17" s="721"/>
      <c r="G17" s="721"/>
      <c r="H17" s="721"/>
      <c r="I17" s="721"/>
    </row>
    <row r="18" spans="1:9" ht="18" hidden="1" customHeight="1" x14ac:dyDescent="0.3">
      <c r="A18" s="352" t="s">
        <v>490</v>
      </c>
      <c r="B18" s="353"/>
      <c r="C18" s="353"/>
      <c r="D18" s="353"/>
      <c r="E18" s="353">
        <f>3500</f>
        <v>3500</v>
      </c>
      <c r="F18" s="764"/>
      <c r="G18" s="764"/>
      <c r="H18" s="764"/>
      <c r="I18" s="764"/>
    </row>
    <row r="19" spans="1:9" ht="18" customHeight="1" x14ac:dyDescent="0.3">
      <c r="A19" s="352" t="s">
        <v>757</v>
      </c>
      <c r="B19" s="353"/>
      <c r="C19" s="353"/>
      <c r="D19" s="353"/>
      <c r="E19" s="64">
        <f>1000*2</f>
        <v>2000</v>
      </c>
      <c r="F19" s="765">
        <v>1000</v>
      </c>
      <c r="G19" s="765">
        <v>1000</v>
      </c>
      <c r="H19" s="765">
        <v>600</v>
      </c>
      <c r="I19" s="765">
        <v>1500</v>
      </c>
    </row>
    <row r="20" spans="1:9" ht="18" customHeight="1" x14ac:dyDescent="0.3">
      <c r="A20" s="352" t="s">
        <v>595</v>
      </c>
      <c r="B20" s="353"/>
      <c r="C20" s="353"/>
      <c r="D20" s="353"/>
      <c r="E20" s="353"/>
      <c r="F20" s="764">
        <f>(5*300)+(3*150)+(2*149)+(7*99)+9</f>
        <v>2950</v>
      </c>
      <c r="G20" s="764">
        <v>0</v>
      </c>
      <c r="H20" s="764">
        <v>750</v>
      </c>
      <c r="I20" s="764">
        <v>0</v>
      </c>
    </row>
    <row r="21" spans="1:9" ht="18" hidden="1" customHeight="1" x14ac:dyDescent="0.3">
      <c r="A21" s="352" t="s">
        <v>596</v>
      </c>
      <c r="B21" s="353"/>
      <c r="C21" s="353"/>
      <c r="D21" s="353"/>
      <c r="E21" s="353"/>
      <c r="F21" s="764">
        <f>250</f>
        <v>250</v>
      </c>
      <c r="G21" s="764">
        <v>0</v>
      </c>
      <c r="H21" s="764">
        <v>0</v>
      </c>
      <c r="I21" s="764">
        <v>0</v>
      </c>
    </row>
    <row r="22" spans="1:9" ht="18" customHeight="1" x14ac:dyDescent="0.3">
      <c r="A22" s="352" t="s">
        <v>667</v>
      </c>
      <c r="B22" s="353"/>
      <c r="C22" s="353"/>
      <c r="D22" s="353"/>
      <c r="E22" s="353"/>
      <c r="F22" s="764">
        <v>0</v>
      </c>
      <c r="G22" s="764">
        <v>0</v>
      </c>
      <c r="H22" s="764">
        <f>140*12</f>
        <v>1680</v>
      </c>
      <c r="I22" s="764">
        <f>175*12</f>
        <v>2100</v>
      </c>
    </row>
    <row r="23" spans="1:9" ht="18" customHeight="1" x14ac:dyDescent="0.3">
      <c r="A23" s="352" t="s">
        <v>758</v>
      </c>
      <c r="B23" s="907"/>
      <c r="C23" s="907"/>
      <c r="D23" s="907"/>
      <c r="E23" s="907"/>
      <c r="F23" s="908">
        <v>0</v>
      </c>
      <c r="G23" s="908">
        <v>0</v>
      </c>
      <c r="H23" s="908">
        <f>8.75*35*12</f>
        <v>3675</v>
      </c>
      <c r="I23" s="908">
        <v>0</v>
      </c>
    </row>
    <row r="24" spans="1:9" ht="18" customHeight="1" x14ac:dyDescent="0.3">
      <c r="A24" s="352" t="s">
        <v>668</v>
      </c>
      <c r="B24" s="907"/>
      <c r="C24" s="907"/>
      <c r="D24" s="907"/>
      <c r="E24" s="907"/>
      <c r="F24" s="908">
        <v>0</v>
      </c>
      <c r="G24" s="908">
        <v>0</v>
      </c>
      <c r="H24" s="908">
        <f>9*64*12</f>
        <v>6912</v>
      </c>
      <c r="I24" s="908">
        <f>512*12</f>
        <v>6144</v>
      </c>
    </row>
    <row r="25" spans="1:9" ht="18" customHeight="1" x14ac:dyDescent="0.3">
      <c r="A25" s="352"/>
      <c r="B25" s="907"/>
      <c r="C25" s="907"/>
      <c r="D25" s="907"/>
      <c r="E25" s="907"/>
      <c r="F25" s="908"/>
      <c r="G25" s="908"/>
      <c r="H25" s="908"/>
      <c r="I25" s="908"/>
    </row>
    <row r="26" spans="1:9" ht="18" customHeight="1" thickBot="1" x14ac:dyDescent="0.35">
      <c r="A26" s="457"/>
      <c r="B26" s="456">
        <v>-8000</v>
      </c>
      <c r="C26" s="456"/>
      <c r="D26" s="456"/>
      <c r="E26" s="456"/>
      <c r="F26" s="766"/>
      <c r="G26" s="766"/>
      <c r="H26" s="766"/>
      <c r="I26" s="766"/>
    </row>
    <row r="27" spans="1:9" ht="18" customHeight="1" x14ac:dyDescent="0.3">
      <c r="A27" s="221" t="s">
        <v>113</v>
      </c>
      <c r="B27" s="378">
        <f t="shared" ref="B27:H27" si="0">SUM(B4:B26)</f>
        <v>11350</v>
      </c>
      <c r="C27" s="378">
        <f t="shared" si="0"/>
        <v>23300</v>
      </c>
      <c r="D27" s="378">
        <f t="shared" si="0"/>
        <v>20000</v>
      </c>
      <c r="E27" s="378">
        <f t="shared" si="0"/>
        <v>25095</v>
      </c>
      <c r="F27" s="767">
        <f t="shared" si="0"/>
        <v>17800</v>
      </c>
      <c r="G27" s="767">
        <f t="shared" ref="G27" si="1">SUM(G4:G26)</f>
        <v>16500</v>
      </c>
      <c r="H27" s="767">
        <f t="shared" si="0"/>
        <v>28477</v>
      </c>
      <c r="I27" s="767">
        <f t="shared" ref="I27" si="2">SUM(I4:I26)</f>
        <v>31620</v>
      </c>
    </row>
    <row r="28" spans="1:9" ht="18" customHeight="1" x14ac:dyDescent="0.3"/>
    <row r="29" spans="1:9" ht="18" customHeight="1" x14ac:dyDescent="0.3">
      <c r="A29" s="27"/>
      <c r="B29" s="27"/>
    </row>
    <row r="30" spans="1:9" ht="18" customHeight="1" x14ac:dyDescent="0.3">
      <c r="A30" s="27"/>
      <c r="B30" s="27"/>
    </row>
    <row r="31" spans="1:9" s="46" customFormat="1" ht="20.25" customHeight="1" x14ac:dyDescent="0.3">
      <c r="A31" s="27"/>
      <c r="B31" s="27"/>
      <c r="C31" s="27"/>
      <c r="D31" s="27"/>
      <c r="E31" s="27"/>
      <c r="F31" s="27"/>
      <c r="G31" s="27"/>
      <c r="H31" s="27"/>
      <c r="I31" s="27"/>
    </row>
    <row r="32" spans="1:9" ht="18.75" customHeight="1" x14ac:dyDescent="0.3">
      <c r="A32" s="27"/>
      <c r="B32" s="27"/>
    </row>
    <row r="33" spans="1:2" ht="18.75" customHeight="1" x14ac:dyDescent="0.3">
      <c r="A33" s="27"/>
      <c r="B33" s="27"/>
    </row>
    <row r="34" spans="1:2" ht="18.75" customHeight="1" x14ac:dyDescent="0.3">
      <c r="A34" s="27"/>
      <c r="B34" s="27"/>
    </row>
    <row r="35" spans="1:2" ht="18" customHeight="1" x14ac:dyDescent="0.3">
      <c r="A35" s="27"/>
      <c r="B35" s="27"/>
    </row>
    <row r="36" spans="1:2" ht="18" customHeight="1" x14ac:dyDescent="0.3">
      <c r="A36" s="27"/>
      <c r="B36" s="27"/>
    </row>
    <row r="37" spans="1:2" ht="18" customHeight="1" x14ac:dyDescent="0.3">
      <c r="A37" s="27"/>
      <c r="B37" s="27"/>
    </row>
    <row r="38" spans="1:2" ht="18" customHeight="1" x14ac:dyDescent="0.3">
      <c r="A38" s="27"/>
      <c r="B38" s="27"/>
    </row>
    <row r="39" spans="1:2" ht="18" customHeight="1" x14ac:dyDescent="0.3">
      <c r="A39" s="27"/>
      <c r="B39" s="27"/>
    </row>
    <row r="40" spans="1:2" ht="18" customHeight="1" x14ac:dyDescent="0.3">
      <c r="A40" s="27"/>
      <c r="B40" s="27"/>
    </row>
    <row r="41" spans="1:2" ht="18" customHeight="1" x14ac:dyDescent="0.3">
      <c r="A41" s="27"/>
      <c r="B41" s="27"/>
    </row>
    <row r="42" spans="1:2" ht="18" customHeight="1" x14ac:dyDescent="0.3">
      <c r="A42" s="27"/>
      <c r="B42" s="27"/>
    </row>
    <row r="43" spans="1:2" ht="18" customHeight="1" x14ac:dyDescent="0.3">
      <c r="A43" s="27"/>
      <c r="B43" s="27"/>
    </row>
    <row r="44" spans="1:2" ht="18" customHeight="1" x14ac:dyDescent="0.3">
      <c r="A44" s="27"/>
      <c r="B44" s="27"/>
    </row>
    <row r="45" spans="1:2" ht="18" customHeight="1" x14ac:dyDescent="0.3">
      <c r="A45" s="27"/>
      <c r="B45" s="27"/>
    </row>
    <row r="46" spans="1:2" ht="18" customHeight="1" x14ac:dyDescent="0.3">
      <c r="A46" s="27"/>
      <c r="B46" s="27"/>
    </row>
    <row r="47" spans="1:2" ht="18" customHeight="1" x14ac:dyDescent="0.3">
      <c r="A47" s="27"/>
      <c r="B47" s="27"/>
    </row>
    <row r="48" spans="1:2" ht="18" customHeight="1" x14ac:dyDescent="0.3">
      <c r="A48" s="27"/>
      <c r="B48" s="27"/>
    </row>
    <row r="49" spans="1:2" ht="18" customHeight="1" x14ac:dyDescent="0.3">
      <c r="A49" s="27"/>
      <c r="B49" s="27"/>
    </row>
    <row r="50" spans="1:2" ht="18" customHeight="1" x14ac:dyDescent="0.3">
      <c r="A50" s="27"/>
      <c r="B50" s="27"/>
    </row>
    <row r="51" spans="1:2" ht="18" customHeight="1" x14ac:dyDescent="0.3">
      <c r="A51" s="27"/>
      <c r="B51" s="27"/>
    </row>
    <row r="52" spans="1:2" ht="18" customHeight="1" x14ac:dyDescent="0.3">
      <c r="A52" s="27"/>
      <c r="B52" s="27"/>
    </row>
    <row r="53" spans="1:2" ht="18" customHeight="1" x14ac:dyDescent="0.3">
      <c r="A53" s="27"/>
      <c r="B53" s="27"/>
    </row>
    <row r="54" spans="1:2" ht="18" customHeight="1" x14ac:dyDescent="0.3">
      <c r="A54" s="27"/>
      <c r="B54" s="27"/>
    </row>
    <row r="55" spans="1:2" ht="18" customHeight="1" x14ac:dyDescent="0.3">
      <c r="A55" s="27"/>
      <c r="B55" s="27"/>
    </row>
    <row r="56" spans="1:2" ht="18" customHeight="1" x14ac:dyDescent="0.3">
      <c r="A56" s="27"/>
      <c r="B56" s="27"/>
    </row>
    <row r="57" spans="1:2" ht="18" customHeight="1" x14ac:dyDescent="0.3">
      <c r="A57" s="27"/>
      <c r="B57" s="27"/>
    </row>
    <row r="58" spans="1:2" ht="18" customHeight="1" x14ac:dyDescent="0.3">
      <c r="A58" s="27"/>
      <c r="B58" s="27"/>
    </row>
    <row r="59" spans="1:2" ht="18" customHeight="1" x14ac:dyDescent="0.3">
      <c r="A59" s="27"/>
      <c r="B59" s="27"/>
    </row>
    <row r="60" spans="1:2" ht="18" customHeight="1" x14ac:dyDescent="0.3">
      <c r="A60" s="27"/>
      <c r="B60" s="27"/>
    </row>
    <row r="61" spans="1:2" ht="18" customHeight="1" x14ac:dyDescent="0.3">
      <c r="A61" s="27"/>
      <c r="B61" s="27"/>
    </row>
    <row r="62" spans="1:2" ht="18" customHeight="1" x14ac:dyDescent="0.3">
      <c r="A62" s="27"/>
      <c r="B62" s="27"/>
    </row>
    <row r="63" spans="1:2" ht="18" customHeight="1" x14ac:dyDescent="0.3">
      <c r="A63" s="27"/>
      <c r="B63" s="27"/>
    </row>
    <row r="64" spans="1:2" ht="18" customHeight="1" x14ac:dyDescent="0.3">
      <c r="A64" s="27"/>
      <c r="B64" s="27"/>
    </row>
    <row r="65" spans="1:2" ht="18" customHeight="1" x14ac:dyDescent="0.3">
      <c r="A65" s="27"/>
      <c r="B65" s="27"/>
    </row>
    <row r="66" spans="1:2" ht="18" customHeight="1" x14ac:dyDescent="0.3">
      <c r="A66" s="27"/>
      <c r="B66" s="27"/>
    </row>
    <row r="67" spans="1:2" ht="18" customHeight="1" x14ac:dyDescent="0.3">
      <c r="A67" s="27"/>
      <c r="B67" s="27"/>
    </row>
    <row r="68" spans="1:2" ht="18" customHeight="1" x14ac:dyDescent="0.3">
      <c r="A68" s="27"/>
      <c r="B68" s="27"/>
    </row>
    <row r="69" spans="1:2" ht="18" customHeight="1" x14ac:dyDescent="0.3">
      <c r="A69" s="27"/>
      <c r="B69" s="27"/>
    </row>
    <row r="70" spans="1:2" ht="18" customHeight="1" x14ac:dyDescent="0.3">
      <c r="A70" s="27"/>
      <c r="B70" s="27"/>
    </row>
    <row r="71" spans="1:2" ht="18.75" customHeight="1" x14ac:dyDescent="0.3">
      <c r="A71" s="27"/>
      <c r="B71" s="27"/>
    </row>
    <row r="72" spans="1:2" ht="18.75" customHeight="1" x14ac:dyDescent="0.3">
      <c r="A72" s="27"/>
      <c r="B72" s="27"/>
    </row>
    <row r="73" spans="1:2" ht="18.75" customHeight="1" x14ac:dyDescent="0.3">
      <c r="A73" s="27"/>
      <c r="B73" s="27"/>
    </row>
    <row r="74" spans="1:2" ht="18.75" customHeight="1" x14ac:dyDescent="0.3">
      <c r="A74" s="27"/>
      <c r="B74" s="27"/>
    </row>
    <row r="75" spans="1:2" ht="18.75" customHeight="1" x14ac:dyDescent="0.3">
      <c r="A75" s="27"/>
      <c r="B75" s="27"/>
    </row>
    <row r="76" spans="1:2" ht="18.75" customHeight="1" x14ac:dyDescent="0.3">
      <c r="A76" s="27"/>
      <c r="B76" s="27"/>
    </row>
    <row r="77" spans="1:2" ht="18.75" customHeight="1" x14ac:dyDescent="0.3">
      <c r="A77" s="27"/>
      <c r="B77" s="27"/>
    </row>
    <row r="78" spans="1:2" ht="18.75" customHeight="1" x14ac:dyDescent="0.3">
      <c r="A78" s="27"/>
      <c r="B78" s="27"/>
    </row>
    <row r="79" spans="1:2" ht="18.75" customHeight="1" x14ac:dyDescent="0.3">
      <c r="A79" s="27"/>
      <c r="B79" s="27"/>
    </row>
    <row r="80" spans="1:2" ht="18.75" customHeight="1" x14ac:dyDescent="0.3">
      <c r="A80" s="27"/>
      <c r="B80" s="27"/>
    </row>
    <row r="81" spans="1:2" ht="18.75" customHeight="1" x14ac:dyDescent="0.3">
      <c r="A81" s="27"/>
      <c r="B81" s="27"/>
    </row>
    <row r="82" spans="1:2" ht="18.75" customHeight="1" x14ac:dyDescent="0.3">
      <c r="A82" s="27"/>
      <c r="B82" s="27"/>
    </row>
    <row r="83" spans="1:2" ht="18.75" customHeight="1" x14ac:dyDescent="0.3">
      <c r="A83" s="27"/>
      <c r="B83" s="27"/>
    </row>
    <row r="84" spans="1:2" ht="18.75" customHeight="1" x14ac:dyDescent="0.3">
      <c r="A84" s="27"/>
      <c r="B84" s="27"/>
    </row>
    <row r="85" spans="1:2" ht="18.75" customHeight="1" x14ac:dyDescent="0.3">
      <c r="A85" s="27"/>
      <c r="B85" s="27"/>
    </row>
    <row r="86" spans="1:2" ht="18.75" customHeight="1" x14ac:dyDescent="0.3">
      <c r="A86" s="27"/>
      <c r="B86" s="27"/>
    </row>
    <row r="87" spans="1:2" ht="18.75" customHeight="1" x14ac:dyDescent="0.3">
      <c r="A87" s="27"/>
      <c r="B87" s="27"/>
    </row>
    <row r="88" spans="1:2" ht="18.75" customHeight="1" x14ac:dyDescent="0.3">
      <c r="A88" s="27"/>
      <c r="B88" s="27"/>
    </row>
    <row r="89" spans="1:2" ht="18.75" customHeight="1" x14ac:dyDescent="0.3">
      <c r="A89" s="27"/>
      <c r="B89" s="27"/>
    </row>
    <row r="90" spans="1:2" ht="18.75" customHeight="1" x14ac:dyDescent="0.3">
      <c r="A90" s="27"/>
      <c r="B90" s="27"/>
    </row>
    <row r="91" spans="1:2" ht="18.75" customHeight="1" x14ac:dyDescent="0.3">
      <c r="A91" s="27"/>
      <c r="B91" s="27"/>
    </row>
    <row r="92" spans="1:2" ht="18.75" customHeight="1" x14ac:dyDescent="0.3">
      <c r="A92" s="27"/>
      <c r="B92" s="27"/>
    </row>
    <row r="93" spans="1:2" ht="18.75" customHeight="1" x14ac:dyDescent="0.3">
      <c r="A93" s="27"/>
      <c r="B93" s="27"/>
    </row>
    <row r="94" spans="1:2" ht="18.75" customHeight="1" x14ac:dyDescent="0.3">
      <c r="A94" s="27"/>
      <c r="B94" s="27"/>
    </row>
    <row r="95" spans="1:2" ht="18.75" customHeight="1" x14ac:dyDescent="0.3">
      <c r="A95" s="27"/>
      <c r="B95" s="27"/>
    </row>
    <row r="96" spans="1:2" ht="18.75" customHeight="1" x14ac:dyDescent="0.3">
      <c r="A96" s="27"/>
      <c r="B96" s="27"/>
    </row>
    <row r="97" spans="1:2" ht="18.75" customHeight="1" x14ac:dyDescent="0.3">
      <c r="A97" s="27"/>
      <c r="B97" s="27"/>
    </row>
    <row r="98" spans="1:2" ht="18.75" customHeight="1" x14ac:dyDescent="0.3">
      <c r="A98" s="27"/>
      <c r="B98" s="27"/>
    </row>
    <row r="99" spans="1:2" ht="18.75" customHeight="1" x14ac:dyDescent="0.3">
      <c r="A99" s="27"/>
      <c r="B99" s="27"/>
    </row>
    <row r="100" spans="1:2" ht="18.75" customHeight="1" x14ac:dyDescent="0.3">
      <c r="A100" s="27"/>
      <c r="B100" s="27"/>
    </row>
    <row r="101" spans="1:2" ht="18.75" customHeight="1" x14ac:dyDescent="0.3">
      <c r="A101" s="27"/>
      <c r="B101" s="27"/>
    </row>
    <row r="102" spans="1:2" ht="18.75" customHeight="1" x14ac:dyDescent="0.3">
      <c r="A102" s="27"/>
      <c r="B102" s="27"/>
    </row>
    <row r="103" spans="1:2" ht="18.75" customHeight="1" x14ac:dyDescent="0.3">
      <c r="A103" s="27"/>
      <c r="B103" s="27"/>
    </row>
    <row r="104" spans="1:2" ht="18.75" customHeight="1" x14ac:dyDescent="0.3">
      <c r="A104" s="27"/>
      <c r="B104" s="27"/>
    </row>
    <row r="105" spans="1:2" ht="18.75" customHeight="1" x14ac:dyDescent="0.3">
      <c r="A105" s="27"/>
      <c r="B105" s="27"/>
    </row>
    <row r="106" spans="1:2" ht="18.75" customHeight="1" x14ac:dyDescent="0.3">
      <c r="A106" s="27"/>
      <c r="B106" s="27"/>
    </row>
    <row r="107" spans="1:2" ht="18.75" customHeight="1" x14ac:dyDescent="0.3">
      <c r="A107" s="27"/>
      <c r="B107" s="27"/>
    </row>
    <row r="108" spans="1:2" ht="18.75" customHeight="1" x14ac:dyDescent="0.3">
      <c r="A108" s="27"/>
      <c r="B108" s="27"/>
    </row>
    <row r="109" spans="1:2" ht="18.75" customHeight="1" x14ac:dyDescent="0.3">
      <c r="A109" s="27"/>
      <c r="B109" s="27"/>
    </row>
    <row r="110" spans="1:2" ht="18.75" customHeight="1" x14ac:dyDescent="0.3">
      <c r="A110" s="27"/>
      <c r="B110" s="27"/>
    </row>
    <row r="111" spans="1:2" ht="18.75" customHeight="1" x14ac:dyDescent="0.3">
      <c r="A111" s="27"/>
      <c r="B111" s="27"/>
    </row>
    <row r="112" spans="1:2" ht="18.75" customHeight="1" x14ac:dyDescent="0.3">
      <c r="A112" s="27"/>
      <c r="B112" s="27"/>
    </row>
  </sheetData>
  <sortState ref="A5:E27">
    <sortCondition ref="A5"/>
  </sortState>
  <phoneticPr fontId="20" type="noConversion"/>
  <printOptions horizontalCentered="1"/>
  <pageMargins left="0.5" right="0.125" top="0.75" bottom="0.75" header="0.5" footer="0.5"/>
  <pageSetup orientation="portrait" r:id="rId1"/>
  <headerFooter alignWithMargins="0">
    <oddFooter>&amp;L&amp;F, &amp;A&amp;R&amp;D</oddFooter>
  </headerFooter>
  <rowBreaks count="1" manualBreakCount="1">
    <brk id="3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7"/>
  <sheetViews>
    <sheetView workbookViewId="0"/>
  </sheetViews>
  <sheetFormatPr defaultRowHeight="14.25" x14ac:dyDescent="0.2"/>
  <cols>
    <col min="1" max="1" width="33.140625" style="186" bestFit="1" customWidth="1"/>
    <col min="2" max="6" width="11.7109375" style="186" hidden="1" customWidth="1"/>
    <col min="7" max="8" width="11.7109375" style="186" customWidth="1"/>
    <col min="9" max="16384" width="9.140625" style="186"/>
  </cols>
  <sheetData>
    <row r="1" spans="1:9" ht="21" customHeight="1" x14ac:dyDescent="0.3">
      <c r="A1" s="571" t="s">
        <v>527</v>
      </c>
      <c r="B1" s="190"/>
      <c r="C1" s="190"/>
      <c r="D1" s="190"/>
      <c r="E1" s="190"/>
      <c r="F1" s="190"/>
      <c r="G1" s="190"/>
      <c r="H1" s="190"/>
      <c r="I1" s="190"/>
    </row>
    <row r="2" spans="1:9" ht="16.5" customHeight="1" x14ac:dyDescent="0.3">
      <c r="A2" s="194"/>
      <c r="B2" s="98"/>
      <c r="C2" s="98"/>
      <c r="D2" s="98"/>
      <c r="E2" s="98"/>
      <c r="F2" s="98"/>
      <c r="G2" s="98"/>
      <c r="H2" s="98"/>
      <c r="I2" s="98"/>
    </row>
    <row r="3" spans="1:9" ht="17.25" customHeight="1" x14ac:dyDescent="0.3">
      <c r="A3" s="195" t="s">
        <v>124</v>
      </c>
      <c r="B3" s="41">
        <v>2010</v>
      </c>
      <c r="C3" s="41">
        <v>2013</v>
      </c>
      <c r="D3" s="41">
        <v>2014</v>
      </c>
      <c r="E3" s="41">
        <v>2015</v>
      </c>
      <c r="F3" s="41">
        <v>2016</v>
      </c>
      <c r="G3" s="41">
        <v>2017</v>
      </c>
      <c r="H3" s="41">
        <v>2018</v>
      </c>
      <c r="I3" s="41">
        <v>2019</v>
      </c>
    </row>
    <row r="4" spans="1:9" ht="18" customHeight="1" x14ac:dyDescent="0.3">
      <c r="A4" s="194"/>
      <c r="B4" s="101"/>
      <c r="C4" s="877"/>
      <c r="D4" s="877"/>
      <c r="E4" s="877"/>
      <c r="F4" s="877"/>
      <c r="G4" s="877"/>
      <c r="H4" s="877"/>
      <c r="I4" s="877"/>
    </row>
    <row r="5" spans="1:9" ht="16.5" x14ac:dyDescent="0.3">
      <c r="A5" s="196" t="s">
        <v>21</v>
      </c>
      <c r="B5" s="42">
        <v>28381.3</v>
      </c>
      <c r="C5" s="878">
        <v>32891.56</v>
      </c>
      <c r="D5" s="878">
        <f>REVENUE!E7*0.02</f>
        <v>33713.840000000004</v>
      </c>
      <c r="E5" s="878">
        <f>REVENUE!F7*0.02</f>
        <v>43741.98</v>
      </c>
      <c r="F5" s="879">
        <f>REVENUE!G7*0.02</f>
        <v>47827.66</v>
      </c>
      <c r="G5" s="880">
        <f>REVENUE!H7*0.02</f>
        <v>49740.766400000008</v>
      </c>
      <c r="H5" s="880">
        <f>REVENUE!I7*0.02</f>
        <v>51979.100888000001</v>
      </c>
      <c r="I5" s="880">
        <f>REVENUE!J7*0.02</f>
        <v>43671.055932400006</v>
      </c>
    </row>
    <row r="6" spans="1:9" ht="16.5" x14ac:dyDescent="0.3">
      <c r="A6" s="196" t="s">
        <v>478</v>
      </c>
      <c r="B6" s="42">
        <v>200</v>
      </c>
      <c r="C6" s="878">
        <v>200</v>
      </c>
      <c r="D6" s="878">
        <v>50</v>
      </c>
      <c r="E6" s="878">
        <v>25</v>
      </c>
      <c r="F6" s="879"/>
      <c r="G6" s="880"/>
      <c r="H6" s="880"/>
      <c r="I6" s="880"/>
    </row>
    <row r="7" spans="1:9" ht="16.5" hidden="1" x14ac:dyDescent="0.3">
      <c r="A7" s="196" t="s">
        <v>39</v>
      </c>
      <c r="B7" s="62">
        <v>12000</v>
      </c>
      <c r="C7" s="448">
        <v>0</v>
      </c>
      <c r="D7" s="448"/>
      <c r="E7" s="448"/>
      <c r="F7" s="736"/>
      <c r="G7" s="739"/>
      <c r="H7" s="739"/>
      <c r="I7" s="739"/>
    </row>
    <row r="8" spans="1:9" ht="16.5" x14ac:dyDescent="0.3">
      <c r="A8" s="439"/>
      <c r="B8" s="62"/>
      <c r="C8" s="448"/>
      <c r="D8" s="448"/>
      <c r="E8" s="448"/>
      <c r="F8" s="736"/>
      <c r="G8" s="739"/>
      <c r="H8" s="739"/>
      <c r="I8" s="739"/>
    </row>
    <row r="9" spans="1:9" ht="16.5" x14ac:dyDescent="0.3">
      <c r="A9" s="439"/>
      <c r="B9" s="62"/>
      <c r="C9" s="448"/>
      <c r="D9" s="448"/>
      <c r="E9" s="448"/>
      <c r="F9" s="736"/>
      <c r="G9" s="739"/>
      <c r="H9" s="739"/>
      <c r="I9" s="739"/>
    </row>
    <row r="10" spans="1:9" ht="16.5" x14ac:dyDescent="0.3">
      <c r="A10" s="495"/>
      <c r="B10" s="107"/>
      <c r="C10" s="449"/>
      <c r="D10" s="449"/>
      <c r="E10" s="449"/>
      <c r="F10" s="734"/>
      <c r="G10" s="735"/>
      <c r="H10" s="735"/>
      <c r="I10" s="735"/>
    </row>
    <row r="11" spans="1:9" ht="16.5" x14ac:dyDescent="0.3">
      <c r="A11" s="444"/>
      <c r="B11" s="452">
        <v>3041.01</v>
      </c>
      <c r="C11" s="881"/>
      <c r="D11" s="881"/>
      <c r="E11" s="881"/>
      <c r="F11" s="882"/>
      <c r="G11" s="883"/>
      <c r="H11" s="883"/>
      <c r="I11" s="883"/>
    </row>
    <row r="12" spans="1:9" ht="16.5" x14ac:dyDescent="0.3">
      <c r="A12" s="443" t="s">
        <v>152</v>
      </c>
      <c r="B12" s="884">
        <f>SUM(B4:B10)</f>
        <v>40581.300000000003</v>
      </c>
      <c r="C12" s="884">
        <f>SUM(C4:C10)</f>
        <v>33091.56</v>
      </c>
      <c r="D12" s="884">
        <f>SUM(D4:D11)</f>
        <v>33763.840000000004</v>
      </c>
      <c r="E12" s="884">
        <f>SUM(E4:E10)</f>
        <v>43766.98</v>
      </c>
      <c r="F12" s="885">
        <f>SUM(F4:F10)</f>
        <v>47827.66</v>
      </c>
      <c r="G12" s="885">
        <f>SUM(G4:G10)</f>
        <v>49740.766400000008</v>
      </c>
      <c r="H12" s="885">
        <f>SUM(H4:H10)</f>
        <v>51979.100888000001</v>
      </c>
      <c r="I12" s="885">
        <f>SUM(I4:I10)</f>
        <v>43671.055932400006</v>
      </c>
    </row>
    <row r="13" spans="1:9" ht="16.5" x14ac:dyDescent="0.3">
      <c r="A13" s="199"/>
      <c r="B13" s="111"/>
    </row>
    <row r="14" spans="1:9" ht="16.5" x14ac:dyDescent="0.3">
      <c r="A14" s="111"/>
      <c r="B14" s="111"/>
    </row>
    <row r="15" spans="1:9" ht="16.5" x14ac:dyDescent="0.3">
      <c r="A15" s="111"/>
      <c r="B15" s="111"/>
    </row>
    <row r="17" spans="1:1" ht="16.5" x14ac:dyDescent="0.3">
      <c r="A17" s="284"/>
    </row>
  </sheetData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I16"/>
  <sheetViews>
    <sheetView workbookViewId="0"/>
  </sheetViews>
  <sheetFormatPr defaultRowHeight="18.75" customHeight="1" x14ac:dyDescent="0.2"/>
  <cols>
    <col min="1" max="1" width="33.42578125" style="14" customWidth="1"/>
    <col min="2" max="2" width="10.7109375" style="15" hidden="1" customWidth="1"/>
    <col min="3" max="6" width="10.7109375" style="96" hidden="1" customWidth="1"/>
    <col min="7" max="8" width="10.7109375" style="96" customWidth="1"/>
    <col min="9" max="16384" width="9.140625" style="96"/>
  </cols>
  <sheetData>
    <row r="1" spans="1:9" s="182" customFormat="1" ht="22.5" customHeight="1" x14ac:dyDescent="0.3">
      <c r="A1" s="216" t="s">
        <v>551</v>
      </c>
      <c r="B1" s="203"/>
      <c r="C1" s="190"/>
      <c r="D1" s="190"/>
      <c r="E1" s="190"/>
      <c r="F1" s="190"/>
      <c r="G1" s="190"/>
      <c r="H1" s="190"/>
      <c r="I1" s="190"/>
    </row>
    <row r="2" spans="1:9" ht="18.75" customHeight="1" x14ac:dyDescent="0.3">
      <c r="A2" s="98"/>
      <c r="B2" s="49"/>
      <c r="C2" s="98"/>
      <c r="D2" s="98"/>
      <c r="E2" s="98"/>
      <c r="F2" s="98"/>
      <c r="G2" s="98"/>
      <c r="H2" s="98"/>
      <c r="I2" s="98"/>
    </row>
    <row r="3" spans="1:9" s="182" customFormat="1" ht="18.75" customHeight="1" x14ac:dyDescent="0.3">
      <c r="A3" s="104" t="s">
        <v>124</v>
      </c>
      <c r="B3" s="41">
        <v>2010</v>
      </c>
      <c r="C3" s="41">
        <v>2013</v>
      </c>
      <c r="D3" s="41">
        <v>2014</v>
      </c>
      <c r="E3" s="41">
        <v>2015</v>
      </c>
      <c r="F3" s="41">
        <v>2016</v>
      </c>
      <c r="G3" s="41">
        <v>2017</v>
      </c>
      <c r="H3" s="41">
        <v>2018</v>
      </c>
      <c r="I3" s="41">
        <v>2019</v>
      </c>
    </row>
    <row r="4" spans="1:9" s="183" customFormat="1" ht="18.75" customHeight="1" x14ac:dyDescent="0.3">
      <c r="A4" s="54"/>
      <c r="B4" s="101"/>
      <c r="C4" s="101"/>
      <c r="D4" s="101"/>
      <c r="E4" s="101"/>
      <c r="F4" s="712"/>
      <c r="G4" s="712"/>
      <c r="H4" s="712"/>
      <c r="I4" s="712"/>
    </row>
    <row r="5" spans="1:9" ht="18.75" customHeight="1" x14ac:dyDescent="0.3">
      <c r="A5" s="54" t="s">
        <v>249</v>
      </c>
      <c r="B5" s="42">
        <v>50</v>
      </c>
      <c r="C5" s="42">
        <v>50</v>
      </c>
      <c r="D5" s="42">
        <v>50</v>
      </c>
      <c r="E5" s="42">
        <v>50</v>
      </c>
      <c r="F5" s="676">
        <v>40</v>
      </c>
      <c r="G5" s="676">
        <v>40</v>
      </c>
      <c r="H5" s="676">
        <v>40</v>
      </c>
      <c r="I5" s="676">
        <v>40</v>
      </c>
    </row>
    <row r="6" spans="1:9" ht="18.75" hidden="1" customHeight="1" x14ac:dyDescent="0.3">
      <c r="A6" s="54" t="s">
        <v>248</v>
      </c>
      <c r="B6" s="42">
        <v>1000</v>
      </c>
      <c r="C6" s="42"/>
      <c r="D6" s="549">
        <v>1800</v>
      </c>
      <c r="E6" s="549" t="s">
        <v>574</v>
      </c>
      <c r="F6" s="675" t="s">
        <v>574</v>
      </c>
      <c r="G6" s="675" t="s">
        <v>574</v>
      </c>
      <c r="H6" s="675" t="s">
        <v>574</v>
      </c>
      <c r="I6" s="675" t="s">
        <v>574</v>
      </c>
    </row>
    <row r="7" spans="1:9" ht="18.75" customHeight="1" x14ac:dyDescent="0.3">
      <c r="A7" s="54" t="s">
        <v>252</v>
      </c>
      <c r="B7" s="42">
        <v>40</v>
      </c>
      <c r="C7" s="42">
        <v>50</v>
      </c>
      <c r="D7" s="42">
        <v>50</v>
      </c>
      <c r="E7" s="42">
        <v>50</v>
      </c>
      <c r="F7" s="676">
        <v>75</v>
      </c>
      <c r="G7" s="676">
        <v>75</v>
      </c>
      <c r="H7" s="676">
        <v>200</v>
      </c>
      <c r="I7" s="676">
        <v>200</v>
      </c>
    </row>
    <row r="8" spans="1:9" ht="18.75" customHeight="1" x14ac:dyDescent="0.3">
      <c r="A8" s="54" t="s">
        <v>250</v>
      </c>
      <c r="B8" s="62">
        <v>10</v>
      </c>
      <c r="C8" s="62">
        <v>10</v>
      </c>
      <c r="D8" s="62">
        <v>10</v>
      </c>
      <c r="E8" s="62">
        <v>10</v>
      </c>
      <c r="F8" s="665">
        <v>10</v>
      </c>
      <c r="G8" s="665">
        <v>10</v>
      </c>
      <c r="H8" s="665">
        <v>10</v>
      </c>
      <c r="I8" s="665">
        <v>10</v>
      </c>
    </row>
    <row r="9" spans="1:9" ht="18.75" customHeight="1" x14ac:dyDescent="0.3">
      <c r="A9" s="54" t="s">
        <v>251</v>
      </c>
      <c r="B9" s="42">
        <v>800</v>
      </c>
      <c r="C9" s="42">
        <v>750</v>
      </c>
      <c r="D9" s="42">
        <v>750</v>
      </c>
      <c r="E9" s="42">
        <v>750</v>
      </c>
      <c r="F9" s="676">
        <v>750</v>
      </c>
      <c r="G9" s="676">
        <v>750</v>
      </c>
      <c r="H9" s="676">
        <v>800</v>
      </c>
      <c r="I9" s="676">
        <v>800</v>
      </c>
    </row>
    <row r="10" spans="1:9" s="182" customFormat="1" ht="18.75" customHeight="1" x14ac:dyDescent="0.3">
      <c r="A10" s="405"/>
      <c r="B10" s="62"/>
      <c r="C10" s="62"/>
      <c r="D10" s="62"/>
      <c r="E10" s="62"/>
      <c r="F10" s="665"/>
      <c r="G10" s="665"/>
      <c r="H10" s="665"/>
      <c r="I10" s="665"/>
    </row>
    <row r="11" spans="1:9" s="182" customFormat="1" ht="18.75" customHeight="1" x14ac:dyDescent="0.3">
      <c r="A11" s="288"/>
      <c r="B11" s="62"/>
      <c r="C11" s="62"/>
      <c r="D11" s="62"/>
      <c r="E11" s="62"/>
      <c r="F11" s="665"/>
      <c r="G11" s="665"/>
      <c r="H11" s="665"/>
      <c r="I11" s="665"/>
    </row>
    <row r="12" spans="1:9" s="182" customFormat="1" ht="18.75" customHeight="1" thickBot="1" x14ac:dyDescent="0.35">
      <c r="A12" s="288"/>
      <c r="B12" s="283">
        <v>-1100</v>
      </c>
      <c r="C12" s="283"/>
      <c r="D12" s="283"/>
      <c r="E12" s="283"/>
      <c r="F12" s="768"/>
      <c r="G12" s="768"/>
      <c r="H12" s="768"/>
      <c r="I12" s="768"/>
    </row>
    <row r="13" spans="1:9" ht="18.75" customHeight="1" thickTop="1" x14ac:dyDescent="0.3">
      <c r="A13" s="113" t="s">
        <v>122</v>
      </c>
      <c r="B13" s="112">
        <f t="shared" ref="B13:H13" si="0">SUM(B4:B12)</f>
        <v>800</v>
      </c>
      <c r="C13" s="112">
        <f t="shared" si="0"/>
        <v>860</v>
      </c>
      <c r="D13" s="112">
        <f t="shared" si="0"/>
        <v>2660</v>
      </c>
      <c r="E13" s="112">
        <f t="shared" si="0"/>
        <v>860</v>
      </c>
      <c r="F13" s="756">
        <f t="shared" si="0"/>
        <v>875</v>
      </c>
      <c r="G13" s="756">
        <f t="shared" ref="G13" si="1">SUM(G4:G12)</f>
        <v>875</v>
      </c>
      <c r="H13" s="756">
        <f t="shared" si="0"/>
        <v>1050</v>
      </c>
      <c r="I13" s="756">
        <f t="shared" ref="I13" si="2">SUM(I4:I12)</f>
        <v>1050</v>
      </c>
    </row>
    <row r="14" spans="1:9" ht="18.75" customHeight="1" x14ac:dyDescent="0.3">
      <c r="A14" s="97"/>
      <c r="B14" s="45"/>
      <c r="C14" s="27"/>
    </row>
    <row r="15" spans="1:9" ht="18.75" customHeight="1" x14ac:dyDescent="0.3">
      <c r="A15" s="17"/>
      <c r="B15" s="45"/>
      <c r="C15" s="27"/>
    </row>
    <row r="16" spans="1:9" ht="18.75" customHeight="1" x14ac:dyDescent="0.3">
      <c r="A16" s="97"/>
      <c r="B16" s="45"/>
      <c r="C16" s="27"/>
    </row>
  </sheetData>
  <sortState ref="A5:E9">
    <sortCondition ref="A5"/>
  </sortState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R54"/>
  <sheetViews>
    <sheetView workbookViewId="0"/>
  </sheetViews>
  <sheetFormatPr defaultRowHeight="18.75" customHeight="1" x14ac:dyDescent="0.2"/>
  <cols>
    <col min="1" max="1" width="34.140625" style="3" customWidth="1"/>
    <col min="2" max="2" width="10.7109375" style="4" hidden="1" customWidth="1"/>
    <col min="3" max="6" width="10.7109375" style="1" hidden="1" customWidth="1"/>
    <col min="7" max="8" width="10.7109375" style="1" customWidth="1"/>
    <col min="9" max="16384" width="9.140625" style="1"/>
  </cols>
  <sheetData>
    <row r="1" spans="1:18" s="2" customFormat="1" ht="24" customHeight="1" x14ac:dyDescent="0.25">
      <c r="A1" s="260" t="s">
        <v>552</v>
      </c>
      <c r="B1" s="94"/>
      <c r="C1" s="91"/>
      <c r="D1" s="91"/>
      <c r="E1" s="91"/>
      <c r="F1" s="91"/>
      <c r="G1" s="91"/>
      <c r="H1" s="91"/>
      <c r="I1" s="91"/>
      <c r="J1"/>
      <c r="K1"/>
      <c r="L1"/>
      <c r="M1"/>
      <c r="N1"/>
      <c r="O1"/>
      <c r="P1"/>
      <c r="Q1"/>
      <c r="R1"/>
    </row>
    <row r="2" spans="1:18" ht="18.75" customHeight="1" x14ac:dyDescent="0.25">
      <c r="A2" s="51"/>
      <c r="B2" s="33"/>
      <c r="C2" s="51"/>
      <c r="D2" s="51"/>
      <c r="E2" s="51"/>
      <c r="F2" s="51"/>
      <c r="G2" s="51"/>
      <c r="H2" s="51"/>
      <c r="I2" s="51"/>
      <c r="J2"/>
      <c r="K2"/>
      <c r="L2"/>
      <c r="M2"/>
      <c r="N2"/>
      <c r="O2"/>
      <c r="P2"/>
      <c r="Q2"/>
      <c r="R2"/>
    </row>
    <row r="3" spans="1:18" s="2" customFormat="1" ht="18.75" customHeight="1" x14ac:dyDescent="0.3">
      <c r="A3" s="41" t="s">
        <v>124</v>
      </c>
      <c r="B3" s="109">
        <v>2010</v>
      </c>
      <c r="C3" s="109">
        <v>2013</v>
      </c>
      <c r="D3" s="109">
        <v>2014</v>
      </c>
      <c r="E3" s="109">
        <v>2015</v>
      </c>
      <c r="F3" s="109">
        <v>2016</v>
      </c>
      <c r="G3" s="109">
        <v>2017</v>
      </c>
      <c r="H3" s="109">
        <v>2018</v>
      </c>
      <c r="I3" s="109">
        <v>2019</v>
      </c>
      <c r="J3"/>
      <c r="K3"/>
      <c r="L3"/>
      <c r="M3"/>
      <c r="N3"/>
      <c r="O3"/>
      <c r="P3"/>
      <c r="Q3"/>
      <c r="R3"/>
    </row>
    <row r="4" spans="1:18" s="6" customFormat="1" ht="18.75" customHeight="1" x14ac:dyDescent="0.3">
      <c r="A4" s="101"/>
      <c r="B4" s="292"/>
      <c r="C4" s="292"/>
      <c r="D4" s="292"/>
      <c r="E4" s="292"/>
      <c r="F4" s="769"/>
      <c r="G4" s="769"/>
      <c r="H4" s="769"/>
      <c r="I4" s="769"/>
      <c r="J4"/>
      <c r="K4"/>
      <c r="L4"/>
      <c r="M4"/>
      <c r="N4"/>
      <c r="O4"/>
      <c r="P4"/>
      <c r="Q4"/>
      <c r="R4"/>
    </row>
    <row r="5" spans="1:18" s="2" customFormat="1" ht="24.95" customHeight="1" x14ac:dyDescent="0.3">
      <c r="A5" s="54" t="s">
        <v>125</v>
      </c>
      <c r="B5" s="109"/>
      <c r="C5" s="109"/>
      <c r="D5" s="109"/>
      <c r="E5" s="109"/>
      <c r="F5" s="742"/>
      <c r="G5" s="742"/>
      <c r="H5" s="742"/>
      <c r="I5" s="742"/>
      <c r="J5"/>
      <c r="K5"/>
      <c r="L5"/>
      <c r="M5"/>
      <c r="N5"/>
      <c r="O5"/>
      <c r="P5"/>
      <c r="Q5"/>
      <c r="R5"/>
    </row>
    <row r="6" spans="1:18" ht="24.95" customHeight="1" thickBot="1" x14ac:dyDescent="0.35">
      <c r="A6" s="66" t="s">
        <v>482</v>
      </c>
      <c r="B6" s="293">
        <v>325</v>
      </c>
      <c r="C6" s="293">
        <v>325</v>
      </c>
      <c r="D6" s="293">
        <v>1091</v>
      </c>
      <c r="E6" s="293">
        <f>286*4</f>
        <v>1144</v>
      </c>
      <c r="F6" s="678">
        <v>1100</v>
      </c>
      <c r="G6" s="678">
        <v>1100</v>
      </c>
      <c r="H6" s="678">
        <v>1100</v>
      </c>
      <c r="I6" s="678">
        <v>1100</v>
      </c>
      <c r="J6"/>
      <c r="K6"/>
      <c r="L6"/>
      <c r="M6"/>
      <c r="N6"/>
      <c r="O6"/>
      <c r="P6"/>
      <c r="Q6"/>
      <c r="R6"/>
    </row>
    <row r="7" spans="1:18" ht="24.95" customHeight="1" x14ac:dyDescent="0.3">
      <c r="A7" s="296" t="s">
        <v>259</v>
      </c>
      <c r="B7" s="297">
        <v>3000</v>
      </c>
      <c r="C7" s="297">
        <v>3500</v>
      </c>
      <c r="D7" s="297">
        <v>3092</v>
      </c>
      <c r="E7" s="297">
        <f>757.5*4</f>
        <v>3030</v>
      </c>
      <c r="F7" s="770">
        <v>3200</v>
      </c>
      <c r="G7" s="770">
        <v>3200</v>
      </c>
      <c r="H7" s="770">
        <v>3200</v>
      </c>
      <c r="I7" s="770">
        <v>3200</v>
      </c>
      <c r="J7"/>
      <c r="K7"/>
      <c r="L7"/>
      <c r="M7"/>
      <c r="N7"/>
      <c r="O7"/>
      <c r="P7"/>
      <c r="Q7"/>
      <c r="R7"/>
    </row>
    <row r="8" spans="1:18" ht="24.95" customHeight="1" thickBot="1" x14ac:dyDescent="0.35">
      <c r="A8" s="290" t="s">
        <v>260</v>
      </c>
      <c r="B8" s="294">
        <v>4000</v>
      </c>
      <c r="C8" s="294">
        <v>4000</v>
      </c>
      <c r="D8" s="294">
        <v>3939</v>
      </c>
      <c r="E8" s="294">
        <f>1070*4</f>
        <v>4280</v>
      </c>
      <c r="F8" s="771">
        <v>5000</v>
      </c>
      <c r="G8" s="771">
        <v>5000</v>
      </c>
      <c r="H8" s="771">
        <v>5000</v>
      </c>
      <c r="I8" s="771">
        <v>5000</v>
      </c>
      <c r="J8"/>
      <c r="K8"/>
      <c r="L8"/>
      <c r="M8"/>
      <c r="N8"/>
      <c r="O8"/>
      <c r="P8"/>
      <c r="Q8"/>
      <c r="R8"/>
    </row>
    <row r="9" spans="1:18" ht="24.95" customHeight="1" x14ac:dyDescent="0.3">
      <c r="A9" s="296" t="s">
        <v>258</v>
      </c>
      <c r="B9" s="297">
        <v>2500</v>
      </c>
      <c r="C9" s="297">
        <v>1500</v>
      </c>
      <c r="D9" s="297">
        <v>1541</v>
      </c>
      <c r="E9" s="297">
        <f>592*4</f>
        <v>2368</v>
      </c>
      <c r="F9" s="770">
        <v>2800</v>
      </c>
      <c r="G9" s="770">
        <v>2800</v>
      </c>
      <c r="H9" s="770">
        <v>3800</v>
      </c>
      <c r="I9" s="770">
        <v>3800</v>
      </c>
      <c r="J9"/>
      <c r="K9"/>
      <c r="L9"/>
      <c r="M9"/>
      <c r="N9"/>
      <c r="O9"/>
      <c r="P9"/>
      <c r="Q9"/>
      <c r="R9"/>
    </row>
    <row r="10" spans="1:18" ht="24.95" customHeight="1" thickBot="1" x14ac:dyDescent="0.35">
      <c r="A10" s="290" t="s">
        <v>257</v>
      </c>
      <c r="B10" s="294">
        <v>10000</v>
      </c>
      <c r="C10" s="294">
        <v>10500</v>
      </c>
      <c r="D10" s="294">
        <v>10728</v>
      </c>
      <c r="E10" s="294">
        <f>3385*4</f>
        <v>13540</v>
      </c>
      <c r="F10" s="771">
        <v>15000</v>
      </c>
      <c r="G10" s="771">
        <v>15000</v>
      </c>
      <c r="H10" s="771">
        <v>16000</v>
      </c>
      <c r="I10" s="771">
        <v>16000</v>
      </c>
      <c r="J10"/>
      <c r="K10"/>
      <c r="L10"/>
      <c r="M10"/>
      <c r="N10"/>
      <c r="O10"/>
      <c r="P10"/>
      <c r="Q10"/>
      <c r="R10"/>
    </row>
    <row r="11" spans="1:18" ht="24.95" customHeight="1" x14ac:dyDescent="0.3">
      <c r="A11" s="296" t="s">
        <v>254</v>
      </c>
      <c r="B11" s="298">
        <v>4500</v>
      </c>
      <c r="C11" s="298">
        <v>5000</v>
      </c>
      <c r="D11" s="298">
        <v>4945</v>
      </c>
      <c r="E11" s="298">
        <f>1342*4</f>
        <v>5368</v>
      </c>
      <c r="F11" s="772">
        <v>4600</v>
      </c>
      <c r="G11" s="772">
        <v>4600</v>
      </c>
      <c r="H11" s="772">
        <v>4800</v>
      </c>
      <c r="I11" s="772">
        <v>4800</v>
      </c>
      <c r="J11"/>
      <c r="K11"/>
      <c r="L11"/>
      <c r="M11"/>
      <c r="N11"/>
      <c r="O11"/>
      <c r="P11"/>
      <c r="Q11"/>
      <c r="R11"/>
    </row>
    <row r="12" spans="1:18" ht="18.75" customHeight="1" x14ac:dyDescent="0.3">
      <c r="A12" s="66" t="s">
        <v>483</v>
      </c>
      <c r="B12" s="245"/>
      <c r="C12" s="424"/>
      <c r="D12" s="197">
        <v>34</v>
      </c>
      <c r="E12" s="197">
        <v>34</v>
      </c>
      <c r="F12" s="666"/>
      <c r="G12" s="666"/>
      <c r="H12" s="666"/>
      <c r="I12" s="666"/>
      <c r="J12"/>
      <c r="K12"/>
      <c r="L12"/>
      <c r="M12"/>
      <c r="N12"/>
      <c r="O12"/>
      <c r="P12"/>
      <c r="Q12"/>
      <c r="R12"/>
    </row>
    <row r="13" spans="1:18" ht="18.75" customHeight="1" x14ac:dyDescent="0.3">
      <c r="A13" s="66" t="s">
        <v>589</v>
      </c>
      <c r="B13" s="245"/>
      <c r="C13" s="424"/>
      <c r="D13" s="424"/>
      <c r="E13" s="197"/>
      <c r="F13" s="666">
        <f>950*2</f>
        <v>1900</v>
      </c>
      <c r="G13" s="666">
        <v>1900</v>
      </c>
      <c r="H13" s="666">
        <v>1900</v>
      </c>
      <c r="I13" s="666">
        <v>1900</v>
      </c>
      <c r="J13"/>
      <c r="K13"/>
      <c r="L13"/>
      <c r="M13"/>
      <c r="N13"/>
      <c r="O13"/>
      <c r="P13"/>
      <c r="Q13"/>
      <c r="R13"/>
    </row>
    <row r="14" spans="1:18" ht="18.75" customHeight="1" x14ac:dyDescent="0.3">
      <c r="A14" s="66"/>
      <c r="B14" s="62"/>
      <c r="C14" s="197"/>
      <c r="D14" s="197"/>
      <c r="E14" s="197"/>
      <c r="F14" s="666"/>
      <c r="G14" s="666"/>
      <c r="H14" s="666"/>
      <c r="I14" s="666"/>
      <c r="J14" s="249"/>
      <c r="K14" s="249"/>
      <c r="L14" s="249"/>
      <c r="M14" s="249"/>
      <c r="N14" s="249"/>
      <c r="O14" s="249"/>
      <c r="P14" s="249"/>
      <c r="Q14" s="249"/>
      <c r="R14" s="249"/>
    </row>
    <row r="15" spans="1:18" ht="18.75" customHeight="1" thickBot="1" x14ac:dyDescent="0.35">
      <c r="A15" s="66" t="s">
        <v>646</v>
      </c>
      <c r="B15" s="283">
        <f>-825-26</f>
        <v>-851</v>
      </c>
      <c r="C15" s="595"/>
      <c r="D15" s="595"/>
      <c r="E15" s="595"/>
      <c r="F15" s="773"/>
      <c r="G15" s="773"/>
      <c r="H15" s="773"/>
      <c r="I15" s="773">
        <f>H15*1.1</f>
        <v>0</v>
      </c>
      <c r="J15" s="249"/>
      <c r="K15" s="249"/>
      <c r="L15" s="249"/>
      <c r="M15" s="249"/>
      <c r="N15" s="249"/>
      <c r="O15" s="249"/>
      <c r="P15" s="249"/>
      <c r="Q15" s="249"/>
      <c r="R15" s="249"/>
    </row>
    <row r="16" spans="1:18" ht="18.75" customHeight="1" thickTop="1" x14ac:dyDescent="0.3">
      <c r="A16" s="113" t="s">
        <v>122</v>
      </c>
      <c r="B16" s="44">
        <f>SUM(B4:B15)</f>
        <v>23474</v>
      </c>
      <c r="C16" s="44">
        <f>SUM(C4:C15)</f>
        <v>24825</v>
      </c>
      <c r="D16" s="44">
        <f>SUM(D4:D15)</f>
        <v>25370</v>
      </c>
      <c r="E16" s="44">
        <f>SUM(E4:E15)</f>
        <v>29764</v>
      </c>
      <c r="F16" s="679">
        <f>SUM(F6:F15)</f>
        <v>33600</v>
      </c>
      <c r="G16" s="679">
        <f>SUM(G4:G15)</f>
        <v>33600</v>
      </c>
      <c r="H16" s="679">
        <f>SUM(H4:H15)</f>
        <v>35800</v>
      </c>
      <c r="I16" s="679">
        <f>SUM(I4:I15)</f>
        <v>35800</v>
      </c>
      <c r="J16"/>
      <c r="K16"/>
      <c r="L16"/>
      <c r="M16"/>
      <c r="N16"/>
      <c r="O16"/>
      <c r="P16"/>
      <c r="Q16"/>
      <c r="R16"/>
    </row>
    <row r="17" spans="1:18" ht="18.75" customHeight="1" x14ac:dyDescent="0.3">
      <c r="A17" s="111"/>
      <c r="B17" s="111"/>
      <c r="C17" s="111"/>
      <c r="D17"/>
      <c r="E17" s="295"/>
      <c r="F17" s="295"/>
      <c r="G17" s="295"/>
      <c r="H17" s="295"/>
      <c r="I17"/>
      <c r="J17"/>
      <c r="K17"/>
      <c r="L17"/>
      <c r="M17"/>
      <c r="N17"/>
      <c r="O17"/>
      <c r="P17"/>
      <c r="Q17"/>
      <c r="R17"/>
    </row>
    <row r="18" spans="1:18" ht="18.75" customHeight="1" x14ac:dyDescent="0.25">
      <c r="A18" s="59"/>
      <c r="B18" s="24"/>
      <c r="C18" s="24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</row>
    <row r="19" spans="1:18" ht="18.75" customHeight="1" x14ac:dyDescent="0.2">
      <c r="A19" s="24"/>
      <c r="B19" s="24"/>
      <c r="C19" s="24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</row>
    <row r="20" spans="1:18" ht="18.75" customHeight="1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</row>
    <row r="21" spans="1:18" ht="18.75" customHeight="1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</row>
    <row r="22" spans="1:18" ht="18.75" customHeight="1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1:18" ht="18.75" customHeight="1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1:18" ht="18.75" customHeight="1" x14ac:dyDescent="0.2">
      <c r="A24"/>
      <c r="B24"/>
      <c r="C24"/>
      <c r="D24"/>
      <c r="E24"/>
      <c r="F24"/>
      <c r="G24"/>
      <c r="H24"/>
    </row>
    <row r="25" spans="1:18" ht="18.75" customHeight="1" x14ac:dyDescent="0.2">
      <c r="A25"/>
      <c r="B25"/>
      <c r="C25"/>
      <c r="D25"/>
      <c r="E25"/>
      <c r="F25"/>
      <c r="G25"/>
      <c r="H25"/>
    </row>
    <row r="26" spans="1:18" ht="18.75" customHeight="1" x14ac:dyDescent="0.2">
      <c r="A26"/>
      <c r="B26"/>
      <c r="C26"/>
      <c r="D26"/>
      <c r="E26"/>
      <c r="F26"/>
      <c r="G26"/>
      <c r="H26"/>
    </row>
    <row r="27" spans="1:18" ht="18.75" customHeight="1" x14ac:dyDescent="0.2">
      <c r="A27"/>
      <c r="B27"/>
      <c r="C27"/>
      <c r="D27"/>
      <c r="E27"/>
      <c r="F27"/>
      <c r="G27"/>
      <c r="H27"/>
    </row>
    <row r="28" spans="1:18" ht="18.75" customHeight="1" x14ac:dyDescent="0.2">
      <c r="A28"/>
      <c r="B28"/>
      <c r="C28"/>
      <c r="D28"/>
      <c r="E28"/>
      <c r="F28"/>
      <c r="G28"/>
      <c r="H28"/>
    </row>
    <row r="29" spans="1:18" ht="18.75" customHeight="1" x14ac:dyDescent="0.2">
      <c r="A29"/>
      <c r="B29"/>
      <c r="C29"/>
      <c r="D29"/>
      <c r="E29"/>
      <c r="F29"/>
      <c r="G29"/>
      <c r="H29"/>
    </row>
    <row r="30" spans="1:18" ht="18.75" customHeight="1" x14ac:dyDescent="0.2">
      <c r="A30"/>
      <c r="B30"/>
      <c r="C30"/>
      <c r="D30"/>
      <c r="E30"/>
      <c r="F30"/>
      <c r="G30"/>
      <c r="H30"/>
    </row>
    <row r="31" spans="1:18" ht="18.75" customHeight="1" x14ac:dyDescent="0.2">
      <c r="A31"/>
      <c r="B31"/>
      <c r="C31"/>
      <c r="D31"/>
      <c r="E31"/>
      <c r="F31"/>
      <c r="G31"/>
      <c r="H31"/>
    </row>
    <row r="32" spans="1:18" ht="18.75" customHeight="1" x14ac:dyDescent="0.2">
      <c r="A32"/>
      <c r="B32"/>
      <c r="C32"/>
      <c r="D32"/>
      <c r="E32"/>
      <c r="F32"/>
      <c r="G32"/>
      <c r="H32"/>
    </row>
    <row r="33" spans="1:8" ht="18.75" customHeight="1" x14ac:dyDescent="0.2">
      <c r="A33"/>
      <c r="B33"/>
      <c r="C33"/>
      <c r="D33"/>
      <c r="E33"/>
      <c r="F33"/>
      <c r="G33"/>
      <c r="H33"/>
    </row>
    <row r="34" spans="1:8" ht="18.75" customHeight="1" x14ac:dyDescent="0.2">
      <c r="A34"/>
      <c r="B34"/>
      <c r="C34"/>
      <c r="D34"/>
      <c r="E34"/>
      <c r="F34"/>
      <c r="G34"/>
      <c r="H34"/>
    </row>
    <row r="35" spans="1:8" ht="18.75" customHeight="1" x14ac:dyDescent="0.2">
      <c r="A35"/>
      <c r="B35"/>
      <c r="C35"/>
      <c r="D35"/>
      <c r="E35"/>
      <c r="F35"/>
      <c r="G35"/>
      <c r="H35"/>
    </row>
    <row r="36" spans="1:8" ht="18.75" customHeight="1" x14ac:dyDescent="0.2">
      <c r="A36"/>
      <c r="B36"/>
      <c r="C36"/>
      <c r="D36"/>
      <c r="E36"/>
      <c r="F36"/>
      <c r="G36"/>
      <c r="H36"/>
    </row>
    <row r="37" spans="1:8" ht="18.75" customHeight="1" x14ac:dyDescent="0.2">
      <c r="A37"/>
      <c r="B37"/>
      <c r="C37"/>
      <c r="D37"/>
      <c r="E37"/>
      <c r="F37"/>
      <c r="G37"/>
      <c r="H37"/>
    </row>
    <row r="38" spans="1:8" ht="18.75" customHeight="1" x14ac:dyDescent="0.2">
      <c r="A38"/>
      <c r="B38"/>
      <c r="C38"/>
      <c r="D38"/>
      <c r="E38"/>
      <c r="F38"/>
      <c r="G38"/>
      <c r="H38"/>
    </row>
    <row r="39" spans="1:8" ht="18.75" customHeight="1" x14ac:dyDescent="0.2">
      <c r="A39"/>
      <c r="B39"/>
      <c r="C39"/>
      <c r="D39"/>
      <c r="E39"/>
      <c r="F39"/>
      <c r="G39"/>
      <c r="H39"/>
    </row>
    <row r="40" spans="1:8" ht="18.75" customHeight="1" x14ac:dyDescent="0.2">
      <c r="A40"/>
      <c r="B40"/>
      <c r="C40"/>
      <c r="D40"/>
      <c r="E40"/>
      <c r="F40"/>
      <c r="G40"/>
      <c r="H40"/>
    </row>
    <row r="41" spans="1:8" ht="18.75" customHeight="1" x14ac:dyDescent="0.2">
      <c r="A41"/>
      <c r="B41"/>
      <c r="C41"/>
      <c r="D41"/>
      <c r="E41"/>
      <c r="F41"/>
      <c r="G41"/>
      <c r="H41"/>
    </row>
    <row r="42" spans="1:8" ht="18.75" customHeight="1" x14ac:dyDescent="0.2">
      <c r="A42"/>
      <c r="B42"/>
      <c r="C42"/>
      <c r="D42"/>
      <c r="E42"/>
      <c r="F42"/>
      <c r="G42"/>
      <c r="H42"/>
    </row>
    <row r="43" spans="1:8" ht="18.75" customHeight="1" x14ac:dyDescent="0.2">
      <c r="A43"/>
      <c r="B43"/>
      <c r="C43"/>
      <c r="D43"/>
      <c r="E43"/>
      <c r="F43"/>
      <c r="G43"/>
      <c r="H43"/>
    </row>
    <row r="44" spans="1:8" ht="18.75" customHeight="1" x14ac:dyDescent="0.2">
      <c r="A44"/>
      <c r="B44"/>
      <c r="C44"/>
      <c r="D44"/>
      <c r="E44"/>
      <c r="F44"/>
      <c r="G44"/>
      <c r="H44"/>
    </row>
    <row r="45" spans="1:8" ht="18.75" customHeight="1" x14ac:dyDescent="0.2">
      <c r="A45"/>
      <c r="B45"/>
      <c r="C45"/>
      <c r="D45"/>
      <c r="E45"/>
      <c r="F45"/>
      <c r="G45"/>
      <c r="H45"/>
    </row>
    <row r="46" spans="1:8" ht="18.75" customHeight="1" x14ac:dyDescent="0.2">
      <c r="A46"/>
      <c r="B46"/>
      <c r="C46"/>
      <c r="D46"/>
      <c r="E46"/>
      <c r="F46"/>
      <c r="G46"/>
      <c r="H46"/>
    </row>
    <row r="47" spans="1:8" ht="18.75" customHeight="1" x14ac:dyDescent="0.2">
      <c r="A47"/>
      <c r="B47"/>
      <c r="C47"/>
      <c r="D47"/>
      <c r="E47"/>
      <c r="F47"/>
      <c r="G47"/>
      <c r="H47"/>
    </row>
    <row r="48" spans="1:8" ht="18.75" customHeight="1" x14ac:dyDescent="0.2">
      <c r="A48"/>
      <c r="B48"/>
      <c r="C48"/>
      <c r="D48"/>
      <c r="E48"/>
      <c r="F48"/>
      <c r="G48"/>
      <c r="H48"/>
    </row>
    <row r="49" spans="1:8" ht="18.75" customHeight="1" x14ac:dyDescent="0.2">
      <c r="A49"/>
      <c r="B49"/>
      <c r="C49"/>
      <c r="D49"/>
      <c r="E49"/>
      <c r="F49"/>
      <c r="G49"/>
      <c r="H49"/>
    </row>
    <row r="50" spans="1:8" ht="18.75" customHeight="1" x14ac:dyDescent="0.2">
      <c r="A50"/>
      <c r="B50"/>
      <c r="C50"/>
      <c r="D50"/>
      <c r="E50"/>
      <c r="F50"/>
      <c r="G50"/>
      <c r="H50"/>
    </row>
    <row r="51" spans="1:8" ht="18.75" customHeight="1" x14ac:dyDescent="0.2">
      <c r="A51"/>
      <c r="B51"/>
      <c r="C51"/>
      <c r="D51"/>
      <c r="E51"/>
      <c r="F51"/>
      <c r="G51"/>
      <c r="H51"/>
    </row>
    <row r="52" spans="1:8" ht="18.75" customHeight="1" x14ac:dyDescent="0.2">
      <c r="A52"/>
      <c r="B52"/>
      <c r="C52"/>
      <c r="D52"/>
      <c r="E52"/>
      <c r="F52"/>
      <c r="G52"/>
      <c r="H52"/>
    </row>
    <row r="53" spans="1:8" ht="18.75" customHeight="1" x14ac:dyDescent="0.2">
      <c r="A53"/>
      <c r="B53"/>
      <c r="C53"/>
      <c r="D53"/>
      <c r="E53"/>
      <c r="F53"/>
      <c r="G53"/>
      <c r="H53"/>
    </row>
    <row r="54" spans="1:8" ht="18.75" customHeight="1" x14ac:dyDescent="0.2">
      <c r="A54"/>
      <c r="B54"/>
      <c r="C54"/>
      <c r="D54"/>
      <c r="E54"/>
      <c r="F54"/>
      <c r="G54"/>
      <c r="H54"/>
    </row>
  </sheetData>
  <phoneticPr fontId="20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29"/>
  <sheetViews>
    <sheetView workbookViewId="0"/>
  </sheetViews>
  <sheetFormatPr defaultRowHeight="18.75" customHeight="1" x14ac:dyDescent="0.2"/>
  <cols>
    <col min="1" max="1" width="33.140625" style="14" customWidth="1"/>
    <col min="2" max="2" width="11.7109375" style="15" hidden="1" customWidth="1"/>
    <col min="3" max="6" width="11.7109375" style="96" hidden="1" customWidth="1"/>
    <col min="7" max="8" width="11.7109375" style="96" customWidth="1"/>
    <col min="9" max="16384" width="9.140625" style="96"/>
  </cols>
  <sheetData>
    <row r="1" spans="1:9" s="182" customFormat="1" ht="18.75" customHeight="1" x14ac:dyDescent="0.3">
      <c r="A1" s="216" t="s">
        <v>553</v>
      </c>
      <c r="B1" s="203"/>
      <c r="C1" s="216"/>
      <c r="D1" s="216"/>
      <c r="E1" s="216"/>
      <c r="F1" s="216"/>
      <c r="G1" s="216"/>
      <c r="H1" s="216"/>
      <c r="I1" s="216"/>
    </row>
    <row r="2" spans="1:9" ht="18.75" customHeight="1" x14ac:dyDescent="0.3">
      <c r="A2" s="41"/>
      <c r="B2" s="239"/>
      <c r="C2" s="41"/>
      <c r="D2" s="41"/>
      <c r="E2" s="41"/>
      <c r="F2" s="41"/>
      <c r="G2" s="41"/>
      <c r="H2" s="41"/>
      <c r="I2" s="41"/>
    </row>
    <row r="3" spans="1:9" s="182" customFormat="1" ht="18.75" customHeight="1" x14ac:dyDescent="0.3">
      <c r="A3" s="41" t="s">
        <v>124</v>
      </c>
      <c r="B3" s="41">
        <v>2010</v>
      </c>
      <c r="C3" s="41">
        <v>2013</v>
      </c>
      <c r="D3" s="41">
        <v>2014</v>
      </c>
      <c r="E3" s="41">
        <v>2015</v>
      </c>
      <c r="F3" s="41">
        <v>2016</v>
      </c>
      <c r="G3" s="41">
        <v>2017</v>
      </c>
      <c r="H3" s="41">
        <v>2018</v>
      </c>
      <c r="I3" s="41">
        <v>2019</v>
      </c>
    </row>
    <row r="4" spans="1:9" s="183" customFormat="1" ht="18.75" customHeight="1" x14ac:dyDescent="0.3">
      <c r="A4" s="98"/>
      <c r="B4" s="117"/>
      <c r="C4" s="117"/>
      <c r="D4" s="117"/>
      <c r="E4" s="117"/>
      <c r="F4" s="716"/>
      <c r="G4" s="716"/>
      <c r="H4" s="716"/>
      <c r="I4" s="716"/>
    </row>
    <row r="5" spans="1:9" s="182" customFormat="1" ht="18.75" customHeight="1" x14ac:dyDescent="0.3">
      <c r="A5" s="63" t="s">
        <v>216</v>
      </c>
      <c r="B5" s="42">
        <v>500</v>
      </c>
      <c r="C5" s="42">
        <v>1000</v>
      </c>
      <c r="D5" s="42">
        <v>1000</v>
      </c>
      <c r="E5" s="42">
        <v>500</v>
      </c>
      <c r="F5" s="676">
        <v>500</v>
      </c>
      <c r="G5" s="676">
        <v>0</v>
      </c>
      <c r="H5" s="676">
        <v>0</v>
      </c>
      <c r="I5" s="676">
        <v>700</v>
      </c>
    </row>
    <row r="6" spans="1:9" ht="18.75" customHeight="1" x14ac:dyDescent="0.3">
      <c r="A6" s="69" t="s">
        <v>645</v>
      </c>
      <c r="B6" s="42">
        <v>15500</v>
      </c>
      <c r="C6" s="42">
        <v>12000</v>
      </c>
      <c r="D6" s="549">
        <v>12000</v>
      </c>
      <c r="E6" s="549">
        <v>15000</v>
      </c>
      <c r="F6" s="675">
        <v>12000</v>
      </c>
      <c r="G6" s="675">
        <v>12000</v>
      </c>
      <c r="H6" s="675">
        <v>14000</v>
      </c>
      <c r="I6" s="675">
        <v>15000</v>
      </c>
    </row>
    <row r="7" spans="1:9" ht="18.75" hidden="1" customHeight="1" x14ac:dyDescent="0.3">
      <c r="A7" s="63" t="s">
        <v>217</v>
      </c>
      <c r="B7" s="42">
        <v>1000</v>
      </c>
      <c r="C7" s="42">
        <v>2000</v>
      </c>
      <c r="D7" s="42">
        <v>4000</v>
      </c>
      <c r="E7" s="549"/>
      <c r="F7" s="675">
        <v>0</v>
      </c>
      <c r="G7" s="675">
        <v>0</v>
      </c>
      <c r="H7" s="675">
        <v>0</v>
      </c>
      <c r="I7" s="675">
        <v>0</v>
      </c>
    </row>
    <row r="8" spans="1:9" ht="18.75" customHeight="1" x14ac:dyDescent="0.3">
      <c r="A8" s="63" t="s">
        <v>684</v>
      </c>
      <c r="B8" s="42">
        <v>10000</v>
      </c>
      <c r="C8" s="42">
        <v>10000</v>
      </c>
      <c r="D8" s="42">
        <v>10000</v>
      </c>
      <c r="E8" s="42">
        <v>9000</v>
      </c>
      <c r="F8" s="676">
        <v>8000</v>
      </c>
      <c r="G8" s="676">
        <v>8000</v>
      </c>
      <c r="H8" s="676">
        <v>8000</v>
      </c>
      <c r="I8" s="676">
        <v>8000</v>
      </c>
    </row>
    <row r="9" spans="1:9" ht="18.75" customHeight="1" x14ac:dyDescent="0.3">
      <c r="A9" s="63" t="s">
        <v>335</v>
      </c>
      <c r="B9" s="62">
        <v>20000</v>
      </c>
      <c r="C9" s="62">
        <v>16000</v>
      </c>
      <c r="D9" s="62">
        <f>1000*12</f>
        <v>12000</v>
      </c>
      <c r="E9" s="62">
        <f>1000*12</f>
        <v>12000</v>
      </c>
      <c r="F9" s="665">
        <f>1000*12</f>
        <v>12000</v>
      </c>
      <c r="G9" s="665">
        <f>1000*12</f>
        <v>12000</v>
      </c>
      <c r="H9" s="665">
        <f>1000*12</f>
        <v>12000</v>
      </c>
      <c r="I9" s="665">
        <f>1100*12</f>
        <v>13200</v>
      </c>
    </row>
    <row r="10" spans="1:9" ht="18.75" customHeight="1" x14ac:dyDescent="0.3">
      <c r="A10" s="55"/>
      <c r="B10" s="245"/>
      <c r="C10" s="62"/>
      <c r="D10" s="62"/>
      <c r="E10" s="62"/>
      <c r="F10" s="665"/>
      <c r="G10" s="665"/>
      <c r="H10" s="665"/>
      <c r="I10" s="665"/>
    </row>
    <row r="11" spans="1:9" ht="18.75" customHeight="1" x14ac:dyDescent="0.3">
      <c r="A11" s="458"/>
      <c r="B11" s="245"/>
      <c r="C11" s="62"/>
      <c r="D11" s="62"/>
      <c r="E11" s="62"/>
      <c r="F11" s="665"/>
      <c r="G11" s="665"/>
      <c r="H11" s="665"/>
      <c r="I11" s="665"/>
    </row>
    <row r="12" spans="1:9" ht="18.75" customHeight="1" x14ac:dyDescent="0.3">
      <c r="A12" s="458"/>
      <c r="B12" s="62"/>
      <c r="C12" s="62"/>
      <c r="D12" s="62"/>
      <c r="E12" s="62"/>
      <c r="F12" s="665"/>
      <c r="G12" s="665"/>
      <c r="H12" s="665"/>
      <c r="I12" s="665"/>
    </row>
    <row r="13" spans="1:9" ht="18.75" customHeight="1" thickBot="1" x14ac:dyDescent="0.35">
      <c r="A13" s="458"/>
      <c r="B13" s="283">
        <v>-15000</v>
      </c>
      <c r="C13" s="283"/>
      <c r="D13" s="283"/>
      <c r="E13" s="283"/>
      <c r="F13" s="768"/>
      <c r="G13" s="768"/>
      <c r="H13" s="768"/>
      <c r="I13" s="768"/>
    </row>
    <row r="14" spans="1:9" ht="18.75" customHeight="1" thickTop="1" x14ac:dyDescent="0.3">
      <c r="A14" s="103" t="s">
        <v>122</v>
      </c>
      <c r="B14" s="247">
        <f t="shared" ref="B14:H14" si="0">SUM(B4:B13)</f>
        <v>32000</v>
      </c>
      <c r="C14" s="247">
        <f t="shared" si="0"/>
        <v>41000</v>
      </c>
      <c r="D14" s="247">
        <f t="shared" si="0"/>
        <v>39000</v>
      </c>
      <c r="E14" s="247">
        <f t="shared" si="0"/>
        <v>36500</v>
      </c>
      <c r="F14" s="774">
        <f t="shared" si="0"/>
        <v>32500</v>
      </c>
      <c r="G14" s="774">
        <f t="shared" ref="G14" si="1">SUM(G4:G13)</f>
        <v>32000</v>
      </c>
      <c r="H14" s="774">
        <f t="shared" si="0"/>
        <v>34000</v>
      </c>
      <c r="I14" s="774">
        <f t="shared" ref="I14" si="2">SUM(I4:I13)</f>
        <v>36900</v>
      </c>
    </row>
    <row r="15" spans="1:9" ht="18.75" customHeight="1" x14ac:dyDescent="0.3">
      <c r="A15" s="111"/>
      <c r="B15" s="111"/>
      <c r="C15" s="27"/>
      <c r="D15" s="27"/>
    </row>
    <row r="16" spans="1:9" ht="18.75" customHeight="1" x14ac:dyDescent="0.2">
      <c r="A16" s="186"/>
      <c r="B16" s="186"/>
    </row>
    <row r="17" spans="1:2" ht="18.75" customHeight="1" x14ac:dyDescent="0.2">
      <c r="A17" s="186"/>
      <c r="B17" s="186"/>
    </row>
    <row r="18" spans="1:2" ht="18.75" customHeight="1" x14ac:dyDescent="0.2">
      <c r="A18" s="186"/>
      <c r="B18" s="186"/>
    </row>
    <row r="19" spans="1:2" ht="18.75" customHeight="1" x14ac:dyDescent="0.2">
      <c r="A19" s="186"/>
      <c r="B19" s="186"/>
    </row>
    <row r="20" spans="1:2" ht="18.75" customHeight="1" x14ac:dyDescent="0.2">
      <c r="A20" s="186"/>
      <c r="B20" s="186"/>
    </row>
    <row r="21" spans="1:2" ht="18.75" customHeight="1" x14ac:dyDescent="0.2">
      <c r="A21" s="186"/>
      <c r="B21" s="186"/>
    </row>
    <row r="22" spans="1:2" ht="18.75" customHeight="1" x14ac:dyDescent="0.2">
      <c r="A22" s="186"/>
      <c r="B22" s="186"/>
    </row>
    <row r="23" spans="1:2" ht="18.75" customHeight="1" x14ac:dyDescent="0.2">
      <c r="A23" s="186"/>
      <c r="B23" s="186"/>
    </row>
    <row r="24" spans="1:2" ht="18.75" customHeight="1" x14ac:dyDescent="0.2">
      <c r="A24" s="186"/>
      <c r="B24" s="186"/>
    </row>
    <row r="25" spans="1:2" ht="18.75" customHeight="1" x14ac:dyDescent="0.2">
      <c r="A25" s="186"/>
      <c r="B25" s="186"/>
    </row>
    <row r="26" spans="1:2" ht="18.75" customHeight="1" x14ac:dyDescent="0.2">
      <c r="A26" s="186"/>
      <c r="B26" s="186"/>
    </row>
    <row r="27" spans="1:2" ht="18.75" customHeight="1" x14ac:dyDescent="0.2">
      <c r="A27" s="186"/>
      <c r="B27" s="186"/>
    </row>
    <row r="28" spans="1:2" ht="18.75" customHeight="1" x14ac:dyDescent="0.2">
      <c r="A28" s="186"/>
      <c r="B28" s="186"/>
    </row>
    <row r="29" spans="1:2" ht="18.75" customHeight="1" x14ac:dyDescent="0.2">
      <c r="A29" s="186"/>
      <c r="B29" s="186"/>
    </row>
  </sheetData>
  <sortState ref="A6:E10">
    <sortCondition ref="A5"/>
  </sortState>
  <phoneticPr fontId="20" type="noConversion"/>
  <printOptions horizontalCentered="1"/>
  <pageMargins left="0.7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I15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41" style="14" customWidth="1"/>
    <col min="2" max="2" width="10.85546875" style="15" hidden="1" customWidth="1"/>
    <col min="3" max="6" width="10.85546875" style="96" hidden="1" customWidth="1"/>
    <col min="7" max="8" width="10.85546875" style="96" customWidth="1"/>
    <col min="9" max="16384" width="9.140625" style="96"/>
  </cols>
  <sheetData>
    <row r="1" spans="1:9" s="182" customFormat="1" ht="18.75" customHeight="1" x14ac:dyDescent="0.3">
      <c r="A1" s="216" t="s">
        <v>554</v>
      </c>
      <c r="B1" s="203"/>
      <c r="C1" s="190"/>
      <c r="D1" s="190"/>
      <c r="E1" s="190"/>
      <c r="F1" s="190"/>
      <c r="G1" s="190"/>
      <c r="H1" s="190"/>
      <c r="I1" s="190"/>
    </row>
    <row r="2" spans="1:9" ht="18.75" customHeight="1" x14ac:dyDescent="0.3">
      <c r="A2" s="98"/>
      <c r="B2" s="49"/>
      <c r="C2" s="98"/>
      <c r="D2" s="98"/>
      <c r="E2" s="98"/>
      <c r="F2" s="98"/>
      <c r="G2" s="98"/>
      <c r="H2" s="98"/>
      <c r="I2" s="98"/>
    </row>
    <row r="3" spans="1:9" s="182" customFormat="1" ht="18.75" customHeight="1" x14ac:dyDescent="0.3">
      <c r="A3" s="41" t="s">
        <v>124</v>
      </c>
      <c r="B3" s="41">
        <v>2010</v>
      </c>
      <c r="C3" s="41">
        <v>2013</v>
      </c>
      <c r="D3" s="41">
        <v>2014</v>
      </c>
      <c r="E3" s="41">
        <v>2015</v>
      </c>
      <c r="F3" s="41">
        <v>2016</v>
      </c>
      <c r="G3" s="41">
        <v>2017</v>
      </c>
      <c r="H3" s="41">
        <v>2018</v>
      </c>
      <c r="I3" s="41">
        <v>2019</v>
      </c>
    </row>
    <row r="4" spans="1:9" s="183" customFormat="1" ht="18.75" customHeight="1" x14ac:dyDescent="0.3">
      <c r="A4" s="117"/>
      <c r="B4" s="101"/>
      <c r="C4" s="101"/>
      <c r="D4" s="101"/>
      <c r="E4" s="101"/>
      <c r="F4" s="712"/>
      <c r="G4" s="712"/>
      <c r="H4" s="712"/>
      <c r="I4" s="712"/>
    </row>
    <row r="5" spans="1:9" s="183" customFormat="1" ht="18.75" customHeight="1" x14ac:dyDescent="0.3">
      <c r="A5" s="63"/>
      <c r="B5" s="42"/>
      <c r="C5" s="42"/>
      <c r="D5" s="42"/>
      <c r="E5" s="42"/>
      <c r="F5" s="676"/>
      <c r="G5" s="676"/>
      <c r="H5" s="676"/>
      <c r="I5" s="676"/>
    </row>
    <row r="6" spans="1:9" s="183" customFormat="1" ht="18.75" customHeight="1" x14ac:dyDescent="0.3">
      <c r="A6" s="110" t="s">
        <v>694</v>
      </c>
      <c r="B6" s="42">
        <v>7500</v>
      </c>
      <c r="C6" s="42">
        <v>8000</v>
      </c>
      <c r="D6" s="42">
        <v>8000</v>
      </c>
      <c r="E6" s="42">
        <v>8000</v>
      </c>
      <c r="F6" s="676">
        <v>8600</v>
      </c>
      <c r="G6" s="676">
        <v>7500</v>
      </c>
      <c r="H6" s="676">
        <v>7800</v>
      </c>
      <c r="I6" s="676">
        <v>7800</v>
      </c>
    </row>
    <row r="7" spans="1:9" s="183" customFormat="1" ht="18.75" customHeight="1" x14ac:dyDescent="0.3">
      <c r="A7" s="63" t="s">
        <v>503</v>
      </c>
      <c r="B7" s="42">
        <v>100</v>
      </c>
      <c r="C7" s="42">
        <v>100</v>
      </c>
      <c r="D7" s="42">
        <v>125</v>
      </c>
      <c r="E7" s="42">
        <v>130</v>
      </c>
      <c r="F7" s="676">
        <v>150</v>
      </c>
      <c r="G7" s="676">
        <v>0</v>
      </c>
      <c r="H7" s="676">
        <v>0</v>
      </c>
      <c r="I7" s="676">
        <v>0</v>
      </c>
    </row>
    <row r="8" spans="1:9" ht="18.75" customHeight="1" x14ac:dyDescent="0.3">
      <c r="A8" s="69" t="s">
        <v>759</v>
      </c>
      <c r="B8" s="42"/>
      <c r="C8" s="42"/>
      <c r="D8" s="42"/>
      <c r="E8" s="42"/>
      <c r="F8" s="676"/>
      <c r="G8" s="676"/>
      <c r="H8" s="676">
        <v>50000</v>
      </c>
      <c r="I8" s="676">
        <v>0</v>
      </c>
    </row>
    <row r="9" spans="1:9" ht="18.75" customHeight="1" x14ac:dyDescent="0.3">
      <c r="A9" s="55"/>
      <c r="B9" s="460"/>
      <c r="C9" s="245"/>
      <c r="D9" s="245"/>
      <c r="E9" s="245"/>
      <c r="F9" s="775"/>
      <c r="G9" s="775"/>
      <c r="H9" s="775"/>
      <c r="I9" s="775"/>
    </row>
    <row r="10" spans="1:9" ht="18.75" customHeight="1" x14ac:dyDescent="0.3">
      <c r="A10" s="55"/>
      <c r="B10" s="461"/>
      <c r="C10" s="459"/>
      <c r="D10" s="459"/>
      <c r="E10" s="459"/>
      <c r="F10" s="776"/>
      <c r="G10" s="776"/>
      <c r="H10" s="776"/>
      <c r="I10" s="776"/>
    </row>
    <row r="11" spans="1:9" ht="18.75" customHeight="1" x14ac:dyDescent="0.3">
      <c r="A11" s="55"/>
      <c r="B11" s="461"/>
      <c r="C11" s="459"/>
      <c r="D11" s="459"/>
      <c r="E11" s="459"/>
      <c r="F11" s="776"/>
      <c r="G11" s="776"/>
      <c r="H11" s="776"/>
      <c r="I11" s="776"/>
    </row>
    <row r="12" spans="1:9" ht="18.75" customHeight="1" thickBot="1" x14ac:dyDescent="0.35">
      <c r="A12" s="55"/>
      <c r="B12" s="107">
        <v>-7600</v>
      </c>
      <c r="C12" s="107"/>
      <c r="D12" s="107"/>
      <c r="E12" s="107"/>
      <c r="F12" s="755"/>
      <c r="G12" s="755"/>
      <c r="H12" s="755"/>
      <c r="I12" s="755"/>
    </row>
    <row r="13" spans="1:9" s="182" customFormat="1" ht="18.75" customHeight="1" thickTop="1" x14ac:dyDescent="0.3">
      <c r="A13" s="103" t="s">
        <v>122</v>
      </c>
      <c r="B13" s="44">
        <f t="shared" ref="B13:H13" si="0">SUM(B4:B12)</f>
        <v>0</v>
      </c>
      <c r="C13" s="44">
        <f t="shared" si="0"/>
        <v>8100</v>
      </c>
      <c r="D13" s="44">
        <f t="shared" si="0"/>
        <v>8125</v>
      </c>
      <c r="E13" s="44">
        <f t="shared" si="0"/>
        <v>8130</v>
      </c>
      <c r="F13" s="679">
        <f t="shared" si="0"/>
        <v>8750</v>
      </c>
      <c r="G13" s="679">
        <f t="shared" ref="G13" si="1">SUM(G4:G12)</f>
        <v>7500</v>
      </c>
      <c r="H13" s="679">
        <f t="shared" si="0"/>
        <v>57800</v>
      </c>
      <c r="I13" s="679">
        <f t="shared" ref="I13" si="2">SUM(I4:I12)</f>
        <v>7800</v>
      </c>
    </row>
    <row r="14" spans="1:9" ht="18.75" customHeight="1" x14ac:dyDescent="0.3">
      <c r="A14" s="97"/>
      <c r="B14" s="45"/>
      <c r="C14" s="27"/>
    </row>
    <row r="15" spans="1:9" ht="18.75" customHeight="1" x14ac:dyDescent="0.3">
      <c r="A15" s="97"/>
      <c r="B15" s="45"/>
      <c r="C15" s="27"/>
    </row>
  </sheetData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J14"/>
  <sheetViews>
    <sheetView zoomScaleNormal="100" workbookViewId="0"/>
  </sheetViews>
  <sheetFormatPr defaultRowHeight="18.75" customHeight="1" x14ac:dyDescent="0.3"/>
  <cols>
    <col min="1" max="1" width="41.7109375" style="97" customWidth="1"/>
    <col min="2" max="4" width="10.7109375" style="27" hidden="1" customWidth="1"/>
    <col min="5" max="6" width="11.28515625" style="27" hidden="1" customWidth="1"/>
    <col min="7" max="8" width="11.28515625" style="27" customWidth="1"/>
    <col min="9" max="9" width="10" style="27" bestFit="1" customWidth="1"/>
    <col min="10" max="16384" width="9.140625" style="27"/>
  </cols>
  <sheetData>
    <row r="1" spans="1:10" s="46" customFormat="1" ht="18.75" customHeight="1" x14ac:dyDescent="0.3">
      <c r="A1" s="216" t="s">
        <v>555</v>
      </c>
      <c r="B1" s="203"/>
      <c r="C1" s="190"/>
      <c r="D1" s="190"/>
      <c r="E1" s="190"/>
      <c r="F1" s="190"/>
      <c r="G1" s="190"/>
      <c r="H1" s="190"/>
      <c r="I1" s="190"/>
    </row>
    <row r="2" spans="1:10" ht="18.75" customHeight="1" x14ac:dyDescent="0.3">
      <c r="A2" s="98"/>
      <c r="B2" s="49"/>
      <c r="C2" s="98"/>
      <c r="D2" s="98"/>
      <c r="E2" s="98"/>
      <c r="F2" s="98"/>
      <c r="G2" s="98"/>
      <c r="H2" s="98"/>
      <c r="I2" s="98"/>
    </row>
    <row r="3" spans="1:10" s="46" customFormat="1" ht="16.5" x14ac:dyDescent="0.3">
      <c r="A3" s="41" t="s">
        <v>124</v>
      </c>
      <c r="B3" s="41">
        <v>2010</v>
      </c>
      <c r="C3" s="41">
        <v>2013</v>
      </c>
      <c r="D3" s="41">
        <v>2014</v>
      </c>
      <c r="E3" s="41">
        <v>2015</v>
      </c>
      <c r="F3" s="41">
        <v>2016</v>
      </c>
      <c r="G3" s="41">
        <v>2017</v>
      </c>
      <c r="H3" s="41">
        <v>2018</v>
      </c>
      <c r="I3" s="41">
        <v>2019</v>
      </c>
    </row>
    <row r="4" spans="1:10" s="46" customFormat="1" ht="16.5" x14ac:dyDescent="0.3">
      <c r="A4" s="54" t="s">
        <v>106</v>
      </c>
      <c r="B4" s="42">
        <v>1200</v>
      </c>
      <c r="C4" s="42">
        <v>2250</v>
      </c>
      <c r="D4" s="549">
        <f>230*12</f>
        <v>2760</v>
      </c>
      <c r="E4" s="549">
        <f>265*12</f>
        <v>3180</v>
      </c>
      <c r="F4" s="675">
        <f>380*12</f>
        <v>4560</v>
      </c>
      <c r="G4" s="675">
        <f>380*12</f>
        <v>4560</v>
      </c>
      <c r="H4" s="675">
        <f>380*12</f>
        <v>4560</v>
      </c>
      <c r="I4" s="675">
        <f>380*12</f>
        <v>4560</v>
      </c>
    </row>
    <row r="5" spans="1:10" s="46" customFormat="1" ht="18.75" customHeight="1" x14ac:dyDescent="0.3">
      <c r="A5" s="54" t="s">
        <v>484</v>
      </c>
      <c r="B5" s="42">
        <v>4200</v>
      </c>
      <c r="C5" s="42">
        <v>3000</v>
      </c>
      <c r="D5" s="549">
        <f>250*12</f>
        <v>3000</v>
      </c>
      <c r="E5" s="549">
        <f>230*12</f>
        <v>2760</v>
      </c>
      <c r="F5" s="675">
        <f>200*12</f>
        <v>2400</v>
      </c>
      <c r="G5" s="675">
        <f>200*12</f>
        <v>2400</v>
      </c>
      <c r="H5" s="675">
        <f>300*12</f>
        <v>3600</v>
      </c>
      <c r="I5" s="675">
        <f>(250*12)+(800*3)</f>
        <v>5400</v>
      </c>
      <c r="J5" s="27" t="s">
        <v>791</v>
      </c>
    </row>
    <row r="6" spans="1:10" ht="18.75" hidden="1" customHeight="1" x14ac:dyDescent="0.3">
      <c r="A6" s="54" t="s">
        <v>312</v>
      </c>
      <c r="B6" s="42">
        <v>400</v>
      </c>
      <c r="C6" s="42">
        <v>200</v>
      </c>
      <c r="D6" s="42">
        <v>200</v>
      </c>
      <c r="E6" s="42">
        <v>200</v>
      </c>
      <c r="F6" s="676">
        <v>100</v>
      </c>
      <c r="G6" s="676"/>
      <c r="H6" s="676"/>
      <c r="I6" s="676"/>
    </row>
    <row r="7" spans="1:10" s="46" customFormat="1" ht="18.75" hidden="1" customHeight="1" x14ac:dyDescent="0.3">
      <c r="A7" s="54" t="s">
        <v>597</v>
      </c>
      <c r="B7" s="42">
        <v>4200</v>
      </c>
      <c r="C7" s="42">
        <v>4080</v>
      </c>
      <c r="D7" s="549">
        <f>45*8*12</f>
        <v>4320</v>
      </c>
      <c r="E7" s="549">
        <f>45*8*12</f>
        <v>4320</v>
      </c>
      <c r="F7" s="675">
        <f>(15*189)+(15*189)+(5*189)</f>
        <v>6615</v>
      </c>
      <c r="G7" s="675"/>
      <c r="H7" s="675"/>
      <c r="I7" s="675"/>
    </row>
    <row r="8" spans="1:10" ht="18.75" customHeight="1" x14ac:dyDescent="0.3">
      <c r="A8" s="63" t="s">
        <v>598</v>
      </c>
      <c r="B8" s="62"/>
      <c r="C8" s="62"/>
      <c r="D8" s="62"/>
      <c r="E8" s="62"/>
      <c r="F8" s="665">
        <f>(10*2*12)+(100000*0.01)</f>
        <v>1240</v>
      </c>
      <c r="G8" s="665">
        <f>(10*2*12)+(100000*0.01)</f>
        <v>1240</v>
      </c>
      <c r="H8" s="665">
        <f>(10*3*12)+(100000*0.01)</f>
        <v>1360</v>
      </c>
      <c r="I8" s="665">
        <f>(10*3*12)+(100000*0.01)</f>
        <v>1360</v>
      </c>
    </row>
    <row r="9" spans="1:10" ht="18.75" customHeight="1" x14ac:dyDescent="0.3">
      <c r="A9" s="63"/>
      <c r="B9" s="62"/>
      <c r="C9" s="62"/>
      <c r="D9" s="62"/>
      <c r="E9" s="62"/>
      <c r="F9" s="665"/>
      <c r="G9" s="665"/>
      <c r="H9" s="665"/>
      <c r="I9" s="665"/>
    </row>
    <row r="10" spans="1:10" ht="18.75" customHeight="1" x14ac:dyDescent="0.3">
      <c r="A10" s="98"/>
      <c r="B10" s="62"/>
      <c r="C10" s="62"/>
      <c r="D10" s="62"/>
      <c r="E10" s="62"/>
      <c r="F10" s="665"/>
      <c r="G10" s="665"/>
      <c r="H10" s="665"/>
      <c r="I10" s="665"/>
    </row>
    <row r="11" spans="1:10" ht="18.75" customHeight="1" x14ac:dyDescent="0.3">
      <c r="A11" s="63"/>
      <c r="B11" s="62">
        <v>300</v>
      </c>
      <c r="C11" s="62"/>
      <c r="D11" s="62"/>
      <c r="E11" s="62"/>
      <c r="F11" s="665"/>
      <c r="G11" s="665"/>
      <c r="H11" s="665"/>
      <c r="I11" s="665"/>
    </row>
    <row r="12" spans="1:10" ht="18.75" customHeight="1" x14ac:dyDescent="0.3">
      <c r="A12" s="103" t="s">
        <v>122</v>
      </c>
      <c r="B12" s="122">
        <f t="shared" ref="B12:H12" si="0">SUM(B4:B11)</f>
        <v>10300</v>
      </c>
      <c r="C12" s="122">
        <f t="shared" si="0"/>
        <v>9530</v>
      </c>
      <c r="D12" s="122">
        <f t="shared" si="0"/>
        <v>10280</v>
      </c>
      <c r="E12" s="122">
        <f t="shared" si="0"/>
        <v>10460</v>
      </c>
      <c r="F12" s="777">
        <f t="shared" si="0"/>
        <v>14915</v>
      </c>
      <c r="G12" s="777">
        <f t="shared" ref="G12" si="1">SUM(G4:G11)</f>
        <v>8200</v>
      </c>
      <c r="H12" s="777">
        <f t="shared" si="0"/>
        <v>9520</v>
      </c>
      <c r="I12" s="777">
        <f t="shared" ref="I12" si="2">SUM(I4:I11)</f>
        <v>11320</v>
      </c>
    </row>
    <row r="14" spans="1:10" ht="18.75" customHeight="1" x14ac:dyDescent="0.3">
      <c r="A14" s="17"/>
    </row>
  </sheetData>
  <sortState ref="A5:E7">
    <sortCondition ref="A5:A7"/>
  </sortState>
  <phoneticPr fontId="20" type="noConversion"/>
  <printOptions horizontalCentered="1"/>
  <pageMargins left="0.75" right="0.5" top="1" bottom="1" header="0.5" footer="0.5"/>
  <pageSetup scale="96" orientation="portrait" r:id="rId1"/>
  <headerFooter alignWithMargins="0">
    <oddFooter>&amp;L&amp;F, &amp;A&amp;R&amp;D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I25"/>
  <sheetViews>
    <sheetView zoomScaleNormal="100" workbookViewId="0"/>
  </sheetViews>
  <sheetFormatPr defaultRowHeight="18.75" customHeight="1" x14ac:dyDescent="0.2"/>
  <cols>
    <col min="1" max="1" width="36.7109375" style="14" customWidth="1"/>
    <col min="2" max="2" width="12.28515625" style="15" hidden="1" customWidth="1"/>
    <col min="3" max="6" width="12.28515625" style="96" hidden="1" customWidth="1"/>
    <col min="7" max="8" width="12.28515625" style="96" customWidth="1"/>
    <col min="9" max="16384" width="9.140625" style="96"/>
  </cols>
  <sheetData>
    <row r="1" spans="1:9" s="182" customFormat="1" ht="18.75" customHeight="1" x14ac:dyDescent="0.3">
      <c r="A1" s="216" t="s">
        <v>556</v>
      </c>
      <c r="B1" s="203"/>
      <c r="C1" s="190"/>
      <c r="D1" s="190"/>
      <c r="E1" s="190"/>
      <c r="F1" s="190"/>
      <c r="G1" s="190"/>
      <c r="H1" s="190"/>
      <c r="I1" s="190"/>
    </row>
    <row r="2" spans="1:9" ht="18.75" customHeight="1" x14ac:dyDescent="0.3">
      <c r="A2" s="98"/>
      <c r="B2" s="49"/>
      <c r="C2" s="98"/>
      <c r="D2" s="98"/>
      <c r="E2" s="98"/>
      <c r="F2" s="98"/>
      <c r="G2" s="98"/>
      <c r="H2" s="98"/>
      <c r="I2" s="98"/>
    </row>
    <row r="3" spans="1:9" s="182" customFormat="1" ht="18.75" customHeight="1" x14ac:dyDescent="0.3">
      <c r="A3" s="41" t="s">
        <v>124</v>
      </c>
      <c r="B3" s="41">
        <v>2010</v>
      </c>
      <c r="C3" s="41">
        <v>2013</v>
      </c>
      <c r="D3" s="41">
        <v>2014</v>
      </c>
      <c r="E3" s="41">
        <v>2015</v>
      </c>
      <c r="F3" s="41">
        <v>2016</v>
      </c>
      <c r="G3" s="41">
        <v>2017</v>
      </c>
      <c r="H3" s="41">
        <v>2018</v>
      </c>
      <c r="I3" s="41">
        <v>2019</v>
      </c>
    </row>
    <row r="4" spans="1:9" s="182" customFormat="1" ht="18.75" customHeight="1" x14ac:dyDescent="0.3">
      <c r="A4" s="69"/>
      <c r="B4" s="101"/>
      <c r="C4" s="101"/>
      <c r="D4" s="101"/>
      <c r="E4" s="101"/>
      <c r="F4" s="712"/>
      <c r="G4" s="712"/>
      <c r="H4" s="712"/>
      <c r="I4" s="712"/>
    </row>
    <row r="5" spans="1:9" s="182" customFormat="1" ht="18.75" customHeight="1" x14ac:dyDescent="0.25">
      <c r="A5" s="57" t="s">
        <v>426</v>
      </c>
      <c r="B5" s="192">
        <v>15000</v>
      </c>
      <c r="C5" s="192">
        <v>18720</v>
      </c>
      <c r="D5" s="230">
        <v>18720</v>
      </c>
      <c r="E5" s="230">
        <f>1200*12</f>
        <v>14400</v>
      </c>
      <c r="F5" s="718">
        <f>1000*12</f>
        <v>12000</v>
      </c>
      <c r="G5" s="718">
        <f>1000*12</f>
        <v>12000</v>
      </c>
      <c r="H5" s="718">
        <f>1000*12</f>
        <v>12000</v>
      </c>
      <c r="I5" s="718">
        <f>1000*12</f>
        <v>12000</v>
      </c>
    </row>
    <row r="6" spans="1:9" s="182" customFormat="1" ht="18.75" customHeight="1" x14ac:dyDescent="0.25">
      <c r="A6" s="57" t="s">
        <v>429</v>
      </c>
      <c r="B6" s="192">
        <v>15000</v>
      </c>
      <c r="C6" s="192">
        <v>15600</v>
      </c>
      <c r="D6" s="230">
        <v>15600</v>
      </c>
      <c r="E6" s="230">
        <f>1300*12</f>
        <v>15600</v>
      </c>
      <c r="F6" s="718">
        <f>1200*12</f>
        <v>14400</v>
      </c>
      <c r="G6" s="718">
        <f>1200*12</f>
        <v>14400</v>
      </c>
      <c r="H6" s="718">
        <f>1200*12</f>
        <v>14400</v>
      </c>
      <c r="I6" s="718">
        <f>1200*12</f>
        <v>14400</v>
      </c>
    </row>
    <row r="7" spans="1:9" s="182" customFormat="1" ht="18.75" customHeight="1" x14ac:dyDescent="0.25">
      <c r="A7" s="57" t="s">
        <v>562</v>
      </c>
      <c r="B7" s="192">
        <v>1500</v>
      </c>
      <c r="C7" s="192">
        <v>1920</v>
      </c>
      <c r="D7" s="230">
        <v>1940</v>
      </c>
      <c r="E7" s="230">
        <f>200*12</f>
        <v>2400</v>
      </c>
      <c r="F7" s="718">
        <f>180*12</f>
        <v>2160</v>
      </c>
      <c r="G7" s="718">
        <f>180*12</f>
        <v>2160</v>
      </c>
      <c r="H7" s="718">
        <f>180*12</f>
        <v>2160</v>
      </c>
      <c r="I7" s="718">
        <f>180*12</f>
        <v>2160</v>
      </c>
    </row>
    <row r="8" spans="1:9" s="182" customFormat="1" ht="18.75" customHeight="1" x14ac:dyDescent="0.25">
      <c r="A8" s="57" t="s">
        <v>563</v>
      </c>
      <c r="B8" s="56">
        <v>4000</v>
      </c>
      <c r="C8" s="56">
        <v>5600</v>
      </c>
      <c r="D8" s="58">
        <v>5600</v>
      </c>
      <c r="E8" s="58">
        <f>600*12</f>
        <v>7200</v>
      </c>
      <c r="F8" s="653">
        <f>400*12</f>
        <v>4800</v>
      </c>
      <c r="G8" s="653">
        <f>400*12</f>
        <v>4800</v>
      </c>
      <c r="H8" s="653">
        <f>400*12</f>
        <v>4800</v>
      </c>
      <c r="I8" s="653">
        <f>400*12</f>
        <v>4800</v>
      </c>
    </row>
    <row r="9" spans="1:9" ht="18.75" customHeight="1" x14ac:dyDescent="0.2">
      <c r="A9" s="232" t="s">
        <v>599</v>
      </c>
      <c r="B9" s="56">
        <v>5700</v>
      </c>
      <c r="C9" s="56">
        <v>6600</v>
      </c>
      <c r="D9" s="58">
        <v>6600</v>
      </c>
      <c r="E9" s="58">
        <f>(261*12)+(301*12)</f>
        <v>6744</v>
      </c>
      <c r="F9" s="653">
        <f>((8.29+28.92+31.99+4.39+20)*12)+((8.29+28.92+30+31.99+4.39+10.79+20)*12)</f>
        <v>2735.64</v>
      </c>
      <c r="G9" s="653">
        <f>((8.29+28.92+31.99+4.39+20)*12)+((8.29+28.92+30+31.99+4.39+10.79+20)*12)</f>
        <v>2735.64</v>
      </c>
      <c r="H9" s="653">
        <f>((8.29+28.92+31.99+4.39+20)*12)+((8.29+28.92+30+31.99+4.39+10.79+20)*12)</f>
        <v>2735.64</v>
      </c>
      <c r="I9" s="653">
        <f>((8.29+28.92+31.99+4.39+20)*12)+((8.29+28.92+30+31.99+4.39+10.79+20)*12)</f>
        <v>2735.64</v>
      </c>
    </row>
    <row r="10" spans="1:9" ht="18.75" customHeight="1" x14ac:dyDescent="0.2">
      <c r="A10" s="57" t="s">
        <v>450</v>
      </c>
      <c r="B10" s="192">
        <v>3000</v>
      </c>
      <c r="C10" s="192">
        <v>2670</v>
      </c>
      <c r="D10" s="230">
        <v>2670</v>
      </c>
      <c r="E10" s="230">
        <f>250*12</f>
        <v>3000</v>
      </c>
      <c r="F10" s="718">
        <f>320*12</f>
        <v>3840</v>
      </c>
      <c r="G10" s="718">
        <f>320*12</f>
        <v>3840</v>
      </c>
      <c r="H10" s="718">
        <f>320*12</f>
        <v>3840</v>
      </c>
      <c r="I10" s="718">
        <f>320*12</f>
        <v>3840</v>
      </c>
    </row>
    <row r="11" spans="1:9" ht="18.75" customHeight="1" x14ac:dyDescent="0.2">
      <c r="A11" s="57" t="s">
        <v>451</v>
      </c>
      <c r="B11" s="192"/>
      <c r="C11" s="192">
        <v>2370</v>
      </c>
      <c r="D11" s="230">
        <v>2370</v>
      </c>
      <c r="E11" s="230">
        <f>240*12</f>
        <v>2880</v>
      </c>
      <c r="F11" s="718">
        <f>220*12</f>
        <v>2640</v>
      </c>
      <c r="G11" s="718">
        <f>220*12</f>
        <v>2640</v>
      </c>
      <c r="H11" s="718">
        <f>220*12</f>
        <v>2640</v>
      </c>
      <c r="I11" s="718">
        <f>220*12</f>
        <v>2640</v>
      </c>
    </row>
    <row r="12" spans="1:9" ht="18.75" customHeight="1" x14ac:dyDescent="0.2">
      <c r="A12" s="57" t="s">
        <v>427</v>
      </c>
      <c r="B12" s="192">
        <v>8400</v>
      </c>
      <c r="C12" s="192">
        <v>8100</v>
      </c>
      <c r="D12" s="230">
        <v>8100</v>
      </c>
      <c r="E12" s="230">
        <f>675*12</f>
        <v>8100</v>
      </c>
      <c r="F12" s="718">
        <f>675*12</f>
        <v>8100</v>
      </c>
      <c r="G12" s="718">
        <f>675*12</f>
        <v>8100</v>
      </c>
      <c r="H12" s="718">
        <f>675*12</f>
        <v>8100</v>
      </c>
      <c r="I12" s="718">
        <f>675*12</f>
        <v>8100</v>
      </c>
    </row>
    <row r="13" spans="1:9" ht="18.75" customHeight="1" x14ac:dyDescent="0.2">
      <c r="A13" s="57" t="s">
        <v>428</v>
      </c>
      <c r="B13" s="192">
        <v>8800</v>
      </c>
      <c r="C13" s="192">
        <v>12000</v>
      </c>
      <c r="D13" s="230">
        <v>10000</v>
      </c>
      <c r="E13" s="230">
        <f>1200*12</f>
        <v>14400</v>
      </c>
      <c r="F13" s="718">
        <f>1400*12</f>
        <v>16800</v>
      </c>
      <c r="G13" s="718">
        <f>1400*12</f>
        <v>16800</v>
      </c>
      <c r="H13" s="718">
        <f>1400*12</f>
        <v>16800</v>
      </c>
      <c r="I13" s="718">
        <f>1400*12</f>
        <v>16800</v>
      </c>
    </row>
    <row r="14" spans="1:9" ht="18.75" customHeight="1" x14ac:dyDescent="0.2">
      <c r="A14" s="277" t="s">
        <v>600</v>
      </c>
      <c r="B14" s="271"/>
      <c r="C14" s="271"/>
      <c r="D14" s="271"/>
      <c r="E14" s="271"/>
      <c r="F14" s="750">
        <f>(399*12)+((49*2)*12)</f>
        <v>5964</v>
      </c>
      <c r="G14" s="750">
        <f>(399*12)+((49*2)*12)</f>
        <v>5964</v>
      </c>
      <c r="H14" s="750">
        <f>(499*12)+((49*2)*12)</f>
        <v>7164</v>
      </c>
      <c r="I14" s="750">
        <f>(499*12)+((49*2)*12)</f>
        <v>7164</v>
      </c>
    </row>
    <row r="15" spans="1:9" ht="18.75" customHeight="1" x14ac:dyDescent="0.2">
      <c r="A15" s="277"/>
      <c r="B15" s="271"/>
      <c r="C15" s="271"/>
      <c r="D15" s="271"/>
      <c r="E15" s="271"/>
      <c r="F15" s="750"/>
      <c r="G15" s="750"/>
      <c r="H15" s="750"/>
      <c r="I15" s="750"/>
    </row>
    <row r="16" spans="1:9" ht="18.75" customHeight="1" thickBot="1" x14ac:dyDescent="0.25">
      <c r="A16" s="280"/>
      <c r="B16" s="272">
        <v>3000</v>
      </c>
      <c r="C16" s="272"/>
      <c r="D16" s="272"/>
      <c r="E16" s="272"/>
      <c r="F16" s="744"/>
      <c r="G16" s="744"/>
      <c r="H16" s="744"/>
      <c r="I16" s="744"/>
    </row>
    <row r="17" spans="1:9" s="182" customFormat="1" ht="18.75" customHeight="1" thickTop="1" x14ac:dyDescent="0.25">
      <c r="A17" s="275" t="s">
        <v>122</v>
      </c>
      <c r="B17" s="202">
        <f t="shared" ref="B17:H17" si="0">SUM(B4:B16)</f>
        <v>64400</v>
      </c>
      <c r="C17" s="202">
        <f t="shared" si="0"/>
        <v>73580</v>
      </c>
      <c r="D17" s="202">
        <f t="shared" si="0"/>
        <v>71600</v>
      </c>
      <c r="E17" s="202">
        <f t="shared" si="0"/>
        <v>74724</v>
      </c>
      <c r="F17" s="761">
        <f t="shared" si="0"/>
        <v>73439.64</v>
      </c>
      <c r="G17" s="761">
        <f t="shared" ref="G17" si="1">SUM(G4:G16)</f>
        <v>73439.64</v>
      </c>
      <c r="H17" s="761">
        <f t="shared" si="0"/>
        <v>74639.64</v>
      </c>
      <c r="I17" s="761">
        <f t="shared" ref="I17" si="2">SUM(I4:I16)</f>
        <v>74639.64</v>
      </c>
    </row>
    <row r="18" spans="1:9" ht="18.75" customHeight="1" x14ac:dyDescent="0.3">
      <c r="A18" s="17"/>
      <c r="B18" s="45"/>
      <c r="C18" s="27"/>
    </row>
    <row r="19" spans="1:9" ht="18.75" customHeight="1" x14ac:dyDescent="0.2">
      <c r="A19" s="240"/>
    </row>
    <row r="20" spans="1:9" ht="18.75" customHeight="1" x14ac:dyDescent="0.2">
      <c r="A20" s="200"/>
    </row>
    <row r="21" spans="1:9" ht="18.75" customHeight="1" x14ac:dyDescent="0.2">
      <c r="A21" s="200"/>
    </row>
    <row r="22" spans="1:9" ht="18.75" customHeight="1" x14ac:dyDescent="0.2">
      <c r="A22" s="200"/>
    </row>
    <row r="23" spans="1:9" ht="18.75" customHeight="1" x14ac:dyDescent="0.2">
      <c r="A23" s="200"/>
    </row>
    <row r="24" spans="1:9" ht="18.75" customHeight="1" x14ac:dyDescent="0.2">
      <c r="A24" s="200"/>
    </row>
    <row r="25" spans="1:9" ht="18.75" customHeight="1" x14ac:dyDescent="0.2">
      <c r="A25" s="200"/>
    </row>
  </sheetData>
  <sortState ref="A5:E12">
    <sortCondition ref="A5"/>
  </sortState>
  <phoneticPr fontId="20" type="noConversion"/>
  <printOptions horizontalCentered="1"/>
  <pageMargins left="0.75" right="0.75" top="1" bottom="1" header="0.5" footer="0.5"/>
  <pageSetup scale="90" orientation="portrait" r:id="rId1"/>
  <headerFooter alignWithMargins="0">
    <oddHeader xml:space="preserve">&amp;C&amp;"Arial,Bold"
</oddHeader>
    <oddFooter>&amp;L&amp;F, &amp;A&amp;R&amp;D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I21"/>
  <sheetViews>
    <sheetView workbookViewId="0"/>
  </sheetViews>
  <sheetFormatPr defaultRowHeight="18.75" customHeight="1" x14ac:dyDescent="0.3"/>
  <cols>
    <col min="1" max="1" width="30.5703125" style="97" customWidth="1"/>
    <col min="2" max="2" width="12.42578125" style="45" hidden="1" customWidth="1"/>
    <col min="3" max="4" width="12.42578125" style="27" hidden="1" customWidth="1"/>
    <col min="5" max="6" width="11.7109375" style="27" hidden="1" customWidth="1"/>
    <col min="7" max="8" width="11.7109375" style="27" customWidth="1"/>
    <col min="9" max="16384" width="9.140625" style="27"/>
  </cols>
  <sheetData>
    <row r="1" spans="1:9" s="46" customFormat="1" ht="18.75" customHeight="1" x14ac:dyDescent="0.3">
      <c r="A1" s="216" t="s">
        <v>557</v>
      </c>
      <c r="B1" s="203"/>
      <c r="C1" s="203"/>
      <c r="D1" s="203"/>
      <c r="E1" s="203"/>
      <c r="F1" s="203"/>
      <c r="G1" s="203"/>
      <c r="H1" s="203"/>
      <c r="I1" s="203"/>
    </row>
    <row r="2" spans="1:9" ht="18.75" customHeight="1" x14ac:dyDescent="0.3">
      <c r="A2" s="98"/>
      <c r="B2" s="49"/>
      <c r="C2" s="49"/>
      <c r="D2" s="49"/>
      <c r="E2" s="49"/>
      <c r="F2" s="49"/>
      <c r="G2" s="49"/>
      <c r="H2" s="49"/>
      <c r="I2" s="49"/>
    </row>
    <row r="3" spans="1:9" s="46" customFormat="1" ht="18.75" customHeight="1" x14ac:dyDescent="0.3">
      <c r="A3" s="41" t="s">
        <v>124</v>
      </c>
      <c r="B3" s="99">
        <v>2010</v>
      </c>
      <c r="C3" s="99">
        <v>2013</v>
      </c>
      <c r="D3" s="99">
        <v>2014</v>
      </c>
      <c r="E3" s="99">
        <v>2015</v>
      </c>
      <c r="F3" s="99">
        <v>2016</v>
      </c>
      <c r="G3" s="99">
        <v>2017</v>
      </c>
      <c r="H3" s="99">
        <v>2018</v>
      </c>
      <c r="I3" s="99">
        <v>2019</v>
      </c>
    </row>
    <row r="4" spans="1:9" s="123" customFormat="1" ht="18.75" customHeight="1" x14ac:dyDescent="0.3">
      <c r="A4" s="267"/>
      <c r="B4" s="201"/>
      <c r="C4" s="201"/>
      <c r="D4" s="201"/>
      <c r="E4" s="201"/>
      <c r="F4" s="743"/>
      <c r="G4" s="743"/>
      <c r="H4" s="743"/>
      <c r="I4" s="743"/>
    </row>
    <row r="5" spans="1:9" s="123" customFormat="1" ht="18.75" customHeight="1" x14ac:dyDescent="0.3">
      <c r="A5" s="267"/>
      <c r="B5" s="201"/>
      <c r="C5" s="201"/>
      <c r="D5" s="201"/>
      <c r="E5" s="201"/>
      <c r="F5" s="743"/>
      <c r="G5" s="743"/>
      <c r="H5" s="743"/>
      <c r="I5" s="743"/>
    </row>
    <row r="6" spans="1:9" s="123" customFormat="1" ht="18.75" customHeight="1" x14ac:dyDescent="0.3">
      <c r="A6" s="267"/>
      <c r="B6" s="201"/>
      <c r="C6" s="201"/>
      <c r="D6" s="201"/>
      <c r="E6" s="201"/>
      <c r="F6" s="743"/>
      <c r="G6" s="743"/>
      <c r="H6" s="743"/>
      <c r="I6" s="743"/>
    </row>
    <row r="7" spans="1:9" s="123" customFormat="1" ht="18.75" customHeight="1" x14ac:dyDescent="0.3">
      <c r="A7" s="232" t="s">
        <v>213</v>
      </c>
      <c r="B7" s="201">
        <v>255362.5</v>
      </c>
      <c r="C7" s="201">
        <v>259032.5</v>
      </c>
      <c r="D7" s="201"/>
      <c r="E7" s="201"/>
      <c r="F7" s="743"/>
      <c r="G7" s="743"/>
      <c r="H7" s="743"/>
      <c r="I7" s="743"/>
    </row>
    <row r="8" spans="1:9" s="123" customFormat="1" ht="18.75" customHeight="1" x14ac:dyDescent="0.3">
      <c r="A8" s="232" t="s">
        <v>214</v>
      </c>
      <c r="B8" s="201">
        <v>113247.5</v>
      </c>
      <c r="C8" s="201">
        <v>111447.5</v>
      </c>
      <c r="D8" s="201"/>
      <c r="E8" s="201"/>
      <c r="F8" s="743"/>
      <c r="G8" s="743"/>
      <c r="H8" s="743"/>
      <c r="I8" s="743"/>
    </row>
    <row r="9" spans="1:9" s="123" customFormat="1" ht="18.75" customHeight="1" x14ac:dyDescent="0.3">
      <c r="A9" s="232" t="s">
        <v>647</v>
      </c>
      <c r="B9" s="201"/>
      <c r="C9" s="201"/>
      <c r="D9" s="201">
        <v>75600</v>
      </c>
      <c r="E9" s="201">
        <v>72800</v>
      </c>
      <c r="F9" s="743">
        <v>69050</v>
      </c>
      <c r="G9" s="743">
        <v>63450</v>
      </c>
      <c r="H9" s="743">
        <f>28925+28925</f>
        <v>57850</v>
      </c>
      <c r="I9" s="743">
        <f>26025*2</f>
        <v>52050</v>
      </c>
    </row>
    <row r="10" spans="1:9" s="123" customFormat="1" ht="18.75" customHeight="1" x14ac:dyDescent="0.3">
      <c r="A10" s="232" t="s">
        <v>485</v>
      </c>
      <c r="B10" s="281"/>
      <c r="C10" s="201"/>
      <c r="D10" s="201">
        <v>271950</v>
      </c>
      <c r="E10" s="201">
        <f>36525+200000+36525</f>
        <v>273050</v>
      </c>
      <c r="F10" s="743">
        <v>280000</v>
      </c>
      <c r="G10" s="743">
        <v>280000</v>
      </c>
      <c r="H10" s="743">
        <v>290000</v>
      </c>
      <c r="I10" s="743">
        <v>300000</v>
      </c>
    </row>
    <row r="11" spans="1:9" s="123" customFormat="1" ht="18.75" customHeight="1" x14ac:dyDescent="0.3">
      <c r="A11" s="232" t="s">
        <v>255</v>
      </c>
      <c r="B11" s="281"/>
      <c r="C11" s="201"/>
      <c r="D11" s="201"/>
      <c r="E11" s="201"/>
      <c r="F11" s="743"/>
      <c r="G11" s="743"/>
      <c r="H11" s="743"/>
      <c r="I11" s="743"/>
    </row>
    <row r="12" spans="1:9" s="123" customFormat="1" ht="18.75" customHeight="1" x14ac:dyDescent="0.3">
      <c r="A12" s="232" t="s">
        <v>339</v>
      </c>
      <c r="B12" s="201"/>
      <c r="C12" s="201"/>
      <c r="D12" s="201"/>
      <c r="E12" s="201"/>
      <c r="F12" s="743"/>
      <c r="G12" s="743"/>
      <c r="H12" s="743"/>
      <c r="I12" s="743"/>
    </row>
    <row r="13" spans="1:9" s="46" customFormat="1" ht="18.75" customHeight="1" x14ac:dyDescent="0.3">
      <c r="A13" s="57"/>
      <c r="B13" s="269"/>
      <c r="C13" s="269"/>
      <c r="D13" s="269"/>
      <c r="E13" s="269"/>
      <c r="F13" s="754"/>
      <c r="G13" s="754"/>
      <c r="H13" s="754"/>
      <c r="I13" s="754"/>
    </row>
    <row r="14" spans="1:9" ht="18.75" customHeight="1" thickBot="1" x14ac:dyDescent="0.35">
      <c r="A14" s="232"/>
      <c r="B14" s="270"/>
      <c r="C14" s="270"/>
      <c r="D14" s="270"/>
      <c r="E14" s="270"/>
      <c r="F14" s="762"/>
      <c r="G14" s="762"/>
      <c r="H14" s="762"/>
      <c r="I14" s="762"/>
    </row>
    <row r="15" spans="1:9" s="46" customFormat="1" ht="18.75" customHeight="1" thickTop="1" x14ac:dyDescent="0.3">
      <c r="A15" s="275" t="s">
        <v>122</v>
      </c>
      <c r="B15" s="278">
        <f t="shared" ref="B15:H15" si="0">SUM(B4:B14)</f>
        <v>368610</v>
      </c>
      <c r="C15" s="278">
        <f t="shared" si="0"/>
        <v>370480</v>
      </c>
      <c r="D15" s="278">
        <f t="shared" si="0"/>
        <v>347550</v>
      </c>
      <c r="E15" s="278">
        <f t="shared" si="0"/>
        <v>345850</v>
      </c>
      <c r="F15" s="757">
        <f t="shared" si="0"/>
        <v>349050</v>
      </c>
      <c r="G15" s="757">
        <f t="shared" ref="G15" si="1">SUM(G4:G14)</f>
        <v>343450</v>
      </c>
      <c r="H15" s="757">
        <f t="shared" si="0"/>
        <v>347850</v>
      </c>
      <c r="I15" s="757">
        <f t="shared" ref="I15" si="2">SUM(I4:I14)</f>
        <v>352050</v>
      </c>
    </row>
    <row r="16" spans="1:9" ht="18.75" customHeight="1" x14ac:dyDescent="0.3">
      <c r="A16" s="259"/>
      <c r="B16" s="259"/>
      <c r="C16" s="259"/>
      <c r="D16" s="259"/>
    </row>
    <row r="17" spans="1:2" ht="18.75" customHeight="1" x14ac:dyDescent="0.3">
      <c r="A17" s="17"/>
      <c r="B17" s="27"/>
    </row>
    <row r="18" spans="1:2" ht="18.75" customHeight="1" x14ac:dyDescent="0.3">
      <c r="A18" s="17"/>
    </row>
    <row r="19" spans="1:2" ht="18.75" customHeight="1" x14ac:dyDescent="0.3">
      <c r="A19" s="17"/>
    </row>
    <row r="20" spans="1:2" ht="18.75" customHeight="1" x14ac:dyDescent="0.3">
      <c r="A20" s="17"/>
    </row>
    <row r="21" spans="1:2" ht="18.75" customHeight="1" x14ac:dyDescent="0.3">
      <c r="A21" s="17"/>
    </row>
  </sheetData>
  <phoneticPr fontId="20" type="noConversion"/>
  <printOptions horizontalCentered="1"/>
  <pageMargins left="0.7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I11"/>
  <sheetViews>
    <sheetView workbookViewId="0"/>
  </sheetViews>
  <sheetFormatPr defaultRowHeight="18.75" customHeight="1" x14ac:dyDescent="0.3"/>
  <cols>
    <col min="1" max="1" width="44.85546875" style="97" customWidth="1"/>
    <col min="2" max="6" width="10.28515625" style="27" hidden="1" customWidth="1"/>
    <col min="7" max="8" width="10.28515625" style="27" customWidth="1"/>
    <col min="9" max="16384" width="9.140625" style="27"/>
  </cols>
  <sheetData>
    <row r="1" spans="1:9" s="46" customFormat="1" ht="18.75" customHeight="1" x14ac:dyDescent="0.3">
      <c r="A1" s="216" t="s">
        <v>558</v>
      </c>
      <c r="B1" s="203"/>
      <c r="C1" s="190" t="s">
        <v>616</v>
      </c>
      <c r="D1" s="190"/>
      <c r="E1" s="190"/>
      <c r="F1" s="190"/>
      <c r="G1" s="190"/>
      <c r="H1" s="190"/>
      <c r="I1" s="190"/>
    </row>
    <row r="2" spans="1:9" ht="18.75" customHeight="1" x14ac:dyDescent="0.3">
      <c r="A2" s="98"/>
      <c r="B2" s="49"/>
      <c r="C2" s="98"/>
      <c r="D2" s="98"/>
      <c r="E2" s="98"/>
      <c r="F2" s="98"/>
      <c r="G2" s="98"/>
      <c r="H2" s="98"/>
      <c r="I2" s="98"/>
    </row>
    <row r="3" spans="1:9" s="46" customFormat="1" ht="18.75" customHeight="1" x14ac:dyDescent="0.3">
      <c r="A3" s="41" t="s">
        <v>124</v>
      </c>
      <c r="B3" s="41">
        <v>2010</v>
      </c>
      <c r="C3" s="41">
        <v>2013</v>
      </c>
      <c r="D3" s="41">
        <v>2014</v>
      </c>
      <c r="E3" s="41">
        <v>2015</v>
      </c>
      <c r="F3" s="41">
        <v>2016</v>
      </c>
      <c r="G3" s="41">
        <v>2017</v>
      </c>
      <c r="H3" s="41">
        <v>2018</v>
      </c>
      <c r="I3" s="41">
        <v>2019</v>
      </c>
    </row>
    <row r="4" spans="1:9" s="123" customFormat="1" ht="18.75" customHeight="1" x14ac:dyDescent="0.3">
      <c r="A4" s="267"/>
      <c r="B4" s="267"/>
      <c r="C4" s="267"/>
      <c r="D4" s="267"/>
      <c r="E4" s="267"/>
      <c r="F4" s="778"/>
      <c r="G4" s="778"/>
      <c r="H4" s="778"/>
      <c r="I4" s="778"/>
    </row>
    <row r="5" spans="1:9" ht="18.75" customHeight="1" x14ac:dyDescent="0.3">
      <c r="A5" s="63"/>
      <c r="B5" s="42">
        <v>2750</v>
      </c>
      <c r="C5" s="42"/>
      <c r="D5" s="42"/>
      <c r="E5" s="42"/>
      <c r="F5" s="676"/>
      <c r="G5" s="676"/>
      <c r="H5" s="676"/>
      <c r="I5" s="676"/>
    </row>
    <row r="6" spans="1:9" ht="18.75" customHeight="1" x14ac:dyDescent="0.3">
      <c r="A6" s="63" t="s">
        <v>617</v>
      </c>
      <c r="B6" s="42"/>
      <c r="C6" s="42">
        <v>3250</v>
      </c>
      <c r="D6" s="42">
        <f>5*50*14</f>
        <v>3500</v>
      </c>
      <c r="E6" s="42">
        <f>5*50*14</f>
        <v>3500</v>
      </c>
      <c r="F6" s="676">
        <f>5*50*16</f>
        <v>4000</v>
      </c>
      <c r="G6" s="676">
        <f>5*50*16</f>
        <v>4000</v>
      </c>
      <c r="H6" s="676">
        <f>50*16*5</f>
        <v>4000</v>
      </c>
      <c r="I6" s="676">
        <f>50*16*5</f>
        <v>4000</v>
      </c>
    </row>
    <row r="7" spans="1:9" ht="18.75" customHeight="1" x14ac:dyDescent="0.3">
      <c r="A7" s="458"/>
      <c r="B7" s="180"/>
      <c r="C7" s="180"/>
      <c r="D7" s="180"/>
      <c r="E7" s="180"/>
      <c r="F7" s="779"/>
      <c r="G7" s="779"/>
      <c r="H7" s="779"/>
      <c r="I7" s="779"/>
    </row>
    <row r="8" spans="1:9" ht="18.75" customHeight="1" x14ac:dyDescent="0.3">
      <c r="A8" s="458"/>
      <c r="B8" s="180"/>
      <c r="C8" s="180"/>
      <c r="D8" s="180"/>
      <c r="E8" s="180"/>
      <c r="F8" s="779"/>
      <c r="G8" s="779"/>
      <c r="H8" s="779"/>
      <c r="I8" s="779"/>
    </row>
    <row r="9" spans="1:9" ht="18.75" customHeight="1" x14ac:dyDescent="0.3">
      <c r="A9" s="462"/>
      <c r="B9" s="42"/>
      <c r="C9" s="42"/>
      <c r="D9" s="42"/>
      <c r="E9" s="42"/>
      <c r="F9" s="676"/>
      <c r="G9" s="676"/>
      <c r="H9" s="676"/>
      <c r="I9" s="676"/>
    </row>
    <row r="10" spans="1:9" ht="18.75" customHeight="1" thickBot="1" x14ac:dyDescent="0.35">
      <c r="A10" s="458"/>
      <c r="B10" s="463">
        <v>-500</v>
      </c>
      <c r="C10" s="463"/>
      <c r="D10" s="463"/>
      <c r="E10" s="463"/>
      <c r="F10" s="780"/>
      <c r="G10" s="780"/>
      <c r="H10" s="780"/>
      <c r="I10" s="780"/>
    </row>
    <row r="11" spans="1:9" s="46" customFormat="1" ht="18.75" customHeight="1" thickTop="1" x14ac:dyDescent="0.3">
      <c r="A11" s="103" t="s">
        <v>122</v>
      </c>
      <c r="B11" s="44">
        <f t="shared" ref="B11:H11" si="0">SUM(B4:B10)</f>
        <v>2250</v>
      </c>
      <c r="C11" s="44">
        <f t="shared" si="0"/>
        <v>3250</v>
      </c>
      <c r="D11" s="44">
        <f t="shared" si="0"/>
        <v>3500</v>
      </c>
      <c r="E11" s="44">
        <f t="shared" si="0"/>
        <v>3500</v>
      </c>
      <c r="F11" s="679">
        <f t="shared" si="0"/>
        <v>4000</v>
      </c>
      <c r="G11" s="679">
        <f t="shared" ref="G11" si="1">SUM(G4:G10)</f>
        <v>4000</v>
      </c>
      <c r="H11" s="679">
        <f t="shared" si="0"/>
        <v>4000</v>
      </c>
      <c r="I11" s="679">
        <f t="shared" ref="I11" si="2">SUM(I4:I10)</f>
        <v>4000</v>
      </c>
    </row>
  </sheetData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&amp;L&amp;F, &amp;A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I13"/>
  <sheetViews>
    <sheetView workbookViewId="0"/>
  </sheetViews>
  <sheetFormatPr defaultRowHeight="18.75" customHeight="1" x14ac:dyDescent="0.3"/>
  <cols>
    <col min="1" max="1" width="47.7109375" style="97" customWidth="1"/>
    <col min="2" max="4" width="10.7109375" style="27" hidden="1" customWidth="1"/>
    <col min="5" max="6" width="10.140625" style="27" hidden="1" customWidth="1"/>
    <col min="7" max="8" width="10.140625" style="27" customWidth="1"/>
    <col min="9" max="16384" width="9.140625" style="27"/>
  </cols>
  <sheetData>
    <row r="1" spans="1:9" s="46" customFormat="1" ht="18.75" customHeight="1" x14ac:dyDescent="0.3">
      <c r="A1" s="216" t="s">
        <v>24</v>
      </c>
      <c r="B1" s="203"/>
      <c r="C1" s="190"/>
      <c r="D1" s="190"/>
      <c r="E1" s="190"/>
      <c r="F1" s="190"/>
      <c r="G1" s="190"/>
      <c r="H1" s="190"/>
      <c r="I1" s="190"/>
    </row>
    <row r="2" spans="1:9" ht="18.75" customHeight="1" x14ac:dyDescent="0.3">
      <c r="A2" s="98"/>
      <c r="B2" s="49"/>
      <c r="C2" s="98"/>
      <c r="D2" s="98"/>
      <c r="E2" s="98"/>
      <c r="F2" s="98"/>
      <c r="G2" s="98"/>
      <c r="H2" s="98"/>
      <c r="I2" s="98"/>
    </row>
    <row r="3" spans="1:9" s="46" customFormat="1" ht="18.75" customHeight="1" x14ac:dyDescent="0.3">
      <c r="A3" s="41" t="s">
        <v>124</v>
      </c>
      <c r="B3" s="41">
        <v>2010</v>
      </c>
      <c r="C3" s="41">
        <v>2013</v>
      </c>
      <c r="D3" s="41">
        <v>2014</v>
      </c>
      <c r="E3" s="41">
        <v>2015</v>
      </c>
      <c r="F3" s="41">
        <v>2016</v>
      </c>
      <c r="G3" s="41">
        <v>2017</v>
      </c>
      <c r="H3" s="41">
        <v>2018</v>
      </c>
      <c r="I3" s="41">
        <v>2019</v>
      </c>
    </row>
    <row r="4" spans="1:9" s="123" customFormat="1" ht="18.75" customHeight="1" x14ac:dyDescent="0.3">
      <c r="A4" s="238"/>
      <c r="B4" s="238"/>
      <c r="C4" s="238"/>
      <c r="D4" s="238"/>
      <c r="E4" s="238"/>
      <c r="F4" s="781"/>
      <c r="G4" s="781"/>
      <c r="H4" s="781"/>
      <c r="I4" s="781"/>
    </row>
    <row r="5" spans="1:9" ht="18.75" customHeight="1" x14ac:dyDescent="0.3">
      <c r="A5" s="57" t="s">
        <v>480</v>
      </c>
      <c r="B5" s="192">
        <v>1765</v>
      </c>
      <c r="C5" s="192">
        <v>1550</v>
      </c>
      <c r="D5" s="192">
        <v>3000</v>
      </c>
      <c r="E5" s="192">
        <v>3000</v>
      </c>
      <c r="F5" s="717">
        <v>2500</v>
      </c>
      <c r="G5" s="717">
        <v>2500</v>
      </c>
      <c r="H5" s="717">
        <v>2500</v>
      </c>
      <c r="I5" s="717">
        <v>2500</v>
      </c>
    </row>
    <row r="6" spans="1:9" ht="18.75" hidden="1" customHeight="1" x14ac:dyDescent="0.3">
      <c r="A6" s="57" t="s">
        <v>375</v>
      </c>
      <c r="B6" s="192">
        <v>2750</v>
      </c>
      <c r="C6" s="192"/>
      <c r="D6" s="192"/>
      <c r="E6" s="192"/>
      <c r="F6" s="717"/>
      <c r="G6" s="717"/>
      <c r="H6" s="717"/>
      <c r="I6" s="717"/>
    </row>
    <row r="7" spans="1:9" ht="18.75" customHeight="1" x14ac:dyDescent="0.3">
      <c r="A7" s="57" t="s">
        <v>443</v>
      </c>
      <c r="B7" s="192"/>
      <c r="C7" s="192">
        <v>2000</v>
      </c>
      <c r="D7" s="192">
        <v>4000</v>
      </c>
      <c r="E7" s="192">
        <v>4000</v>
      </c>
      <c r="F7" s="718">
        <v>5000</v>
      </c>
      <c r="G7" s="717">
        <v>25000</v>
      </c>
      <c r="H7" s="717">
        <v>25000</v>
      </c>
      <c r="I7" s="717">
        <v>25000</v>
      </c>
    </row>
    <row r="8" spans="1:9" ht="18.75" customHeight="1" x14ac:dyDescent="0.3">
      <c r="A8" s="231"/>
      <c r="B8" s="192"/>
      <c r="C8" s="192"/>
      <c r="D8" s="192"/>
      <c r="E8" s="192"/>
      <c r="F8" s="717"/>
      <c r="G8" s="717"/>
      <c r="H8" s="717"/>
      <c r="I8" s="717"/>
    </row>
    <row r="9" spans="1:9" ht="18.75" customHeight="1" x14ac:dyDescent="0.3">
      <c r="A9" s="231"/>
      <c r="B9" s="192"/>
      <c r="C9" s="192"/>
      <c r="D9" s="192"/>
      <c r="E9" s="192"/>
      <c r="F9" s="717"/>
      <c r="G9" s="717"/>
      <c r="H9" s="717"/>
      <c r="I9" s="717"/>
    </row>
    <row r="10" spans="1:9" ht="18.75" customHeight="1" x14ac:dyDescent="0.3">
      <c r="A10" s="231"/>
      <c r="B10" s="192"/>
      <c r="C10" s="192"/>
      <c r="D10" s="192"/>
      <c r="E10" s="192"/>
      <c r="F10" s="717"/>
      <c r="G10" s="717"/>
      <c r="H10" s="717"/>
      <c r="I10" s="717"/>
    </row>
    <row r="11" spans="1:9" ht="18.75" customHeight="1" x14ac:dyDescent="0.3">
      <c r="A11" s="231"/>
      <c r="B11" s="205"/>
      <c r="C11" s="192"/>
      <c r="D11" s="192"/>
      <c r="E11" s="192"/>
      <c r="F11" s="717"/>
      <c r="G11" s="717"/>
      <c r="H11" s="717"/>
      <c r="I11" s="717"/>
    </row>
    <row r="12" spans="1:9" ht="18.75" customHeight="1" thickBot="1" x14ac:dyDescent="0.35">
      <c r="A12" s="231"/>
      <c r="B12" s="289">
        <f>-4305-210</f>
        <v>-4515</v>
      </c>
      <c r="C12" s="193"/>
      <c r="D12" s="193"/>
      <c r="E12" s="193"/>
      <c r="F12" s="753"/>
      <c r="G12" s="753"/>
      <c r="H12" s="753"/>
      <c r="I12" s="753"/>
    </row>
    <row r="13" spans="1:9" s="46" customFormat="1" ht="18.75" customHeight="1" x14ac:dyDescent="0.3">
      <c r="A13" s="282" t="s">
        <v>122</v>
      </c>
      <c r="B13" s="464">
        <f>SUM(B4:B12)</f>
        <v>0</v>
      </c>
      <c r="C13" s="464">
        <f t="shared" ref="C13:H13" si="0">SUM(C4:C12)</f>
        <v>3550</v>
      </c>
      <c r="D13" s="464">
        <f t="shared" si="0"/>
        <v>7000</v>
      </c>
      <c r="E13" s="464">
        <f t="shared" si="0"/>
        <v>7000</v>
      </c>
      <c r="F13" s="782">
        <f t="shared" ref="F13:G13" si="1">SUM(F4:F12)</f>
        <v>7500</v>
      </c>
      <c r="G13" s="782">
        <f t="shared" si="1"/>
        <v>27500</v>
      </c>
      <c r="H13" s="782">
        <f t="shared" si="0"/>
        <v>27500</v>
      </c>
      <c r="I13" s="782">
        <f t="shared" ref="I13" si="2">SUM(I4:I12)</f>
        <v>27500</v>
      </c>
    </row>
  </sheetData>
  <phoneticPr fontId="20" type="noConversion"/>
  <printOptions horizontalCentered="1"/>
  <pageMargins left="0.5" right="0.5" top="1" bottom="1" header="0.5" footer="0.5"/>
  <pageSetup orientation="portrait" r:id="rId1"/>
  <headerFooter alignWithMargins="0">
    <oddFooter>&amp;L&amp;F, &amp;A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F15"/>
  <sheetViews>
    <sheetView workbookViewId="0">
      <selection activeCell="F13" sqref="F13"/>
    </sheetView>
  </sheetViews>
  <sheetFormatPr defaultRowHeight="18.75" customHeight="1" x14ac:dyDescent="0.2"/>
  <cols>
    <col min="1" max="1" width="36.28515625" style="3" customWidth="1"/>
    <col min="2" max="2" width="10.140625" style="1" customWidth="1"/>
    <col min="3" max="6" width="10.7109375" style="1" customWidth="1"/>
    <col min="7" max="16384" width="9.140625" style="1"/>
  </cols>
  <sheetData>
    <row r="1" spans="1:6" s="46" customFormat="1" ht="18.75" customHeight="1" x14ac:dyDescent="0.3">
      <c r="A1" s="218" t="s">
        <v>27</v>
      </c>
      <c r="B1" s="203"/>
      <c r="C1" s="190"/>
      <c r="D1" s="190"/>
      <c r="E1" s="190"/>
      <c r="F1" s="190"/>
    </row>
    <row r="2" spans="1:6" ht="18.75" customHeight="1" x14ac:dyDescent="0.2">
      <c r="A2" s="31"/>
      <c r="B2" s="23"/>
      <c r="C2" s="31"/>
      <c r="D2" s="31"/>
      <c r="E2" s="31"/>
      <c r="F2" s="31"/>
    </row>
    <row r="3" spans="1:6" s="2" customFormat="1" ht="18.75" customHeight="1" x14ac:dyDescent="0.3">
      <c r="A3" s="41" t="s">
        <v>124</v>
      </c>
      <c r="B3" s="41">
        <v>2010</v>
      </c>
      <c r="C3" s="41">
        <v>2011</v>
      </c>
      <c r="D3" s="41">
        <v>2012</v>
      </c>
      <c r="E3" s="41">
        <v>2013</v>
      </c>
      <c r="F3" s="41">
        <v>2014</v>
      </c>
    </row>
    <row r="4" spans="1:6" s="6" customFormat="1" ht="9.75" customHeight="1" x14ac:dyDescent="0.3">
      <c r="A4" s="117"/>
      <c r="B4" s="117"/>
      <c r="C4" s="117"/>
      <c r="D4" s="117"/>
      <c r="E4" s="117"/>
      <c r="F4" s="117"/>
    </row>
    <row r="5" spans="1:6" ht="18.75" customHeight="1" x14ac:dyDescent="0.2">
      <c r="A5" s="466" t="s">
        <v>26</v>
      </c>
      <c r="B5" s="192"/>
      <c r="C5" s="192"/>
      <c r="D5" s="192"/>
      <c r="E5" s="192"/>
      <c r="F5" s="192"/>
    </row>
    <row r="6" spans="1:6" ht="18.75" customHeight="1" x14ac:dyDescent="0.2">
      <c r="A6" s="232" t="s">
        <v>430</v>
      </c>
      <c r="B6" s="192">
        <v>42500</v>
      </c>
      <c r="C6" s="205"/>
      <c r="D6" s="205"/>
      <c r="E6" s="205"/>
      <c r="F6" s="205"/>
    </row>
    <row r="7" spans="1:6" ht="18.75" customHeight="1" x14ac:dyDescent="0.3">
      <c r="A7" s="55"/>
      <c r="B7" s="205"/>
      <c r="C7" s="205"/>
      <c r="D7" s="205"/>
      <c r="E7" s="205"/>
      <c r="F7" s="205"/>
    </row>
    <row r="8" spans="1:6" ht="18.75" customHeight="1" x14ac:dyDescent="0.3">
      <c r="A8" s="63" t="s">
        <v>376</v>
      </c>
      <c r="B8" s="192"/>
      <c r="C8" s="192">
        <v>50000</v>
      </c>
      <c r="D8" s="205"/>
      <c r="E8" s="205"/>
      <c r="F8" s="205"/>
    </row>
    <row r="9" spans="1:6" ht="18.75" customHeight="1" x14ac:dyDescent="0.3">
      <c r="A9" s="55"/>
      <c r="B9" s="205"/>
      <c r="C9" s="205"/>
      <c r="D9" s="205"/>
      <c r="E9" s="205"/>
      <c r="F9" s="205"/>
    </row>
    <row r="10" spans="1:6" ht="18.75" customHeight="1" x14ac:dyDescent="0.3">
      <c r="A10" s="63" t="s">
        <v>431</v>
      </c>
      <c r="B10" s="192"/>
      <c r="C10" s="192"/>
      <c r="D10" s="192">
        <v>56393.53</v>
      </c>
      <c r="E10" s="192"/>
      <c r="F10" s="192"/>
    </row>
    <row r="11" spans="1:6" ht="18.75" customHeight="1" x14ac:dyDescent="0.3">
      <c r="A11" s="63"/>
      <c r="B11" s="192"/>
      <c r="C11" s="192"/>
      <c r="D11" s="192"/>
      <c r="E11" s="192"/>
      <c r="F11" s="192"/>
    </row>
    <row r="12" spans="1:6" ht="18.75" customHeight="1" x14ac:dyDescent="0.3">
      <c r="A12" s="63"/>
      <c r="B12" s="192"/>
      <c r="C12" s="192"/>
      <c r="D12" s="192"/>
      <c r="E12" s="192"/>
      <c r="F12" s="192"/>
    </row>
    <row r="13" spans="1:6" ht="18.75" customHeight="1" x14ac:dyDescent="0.3">
      <c r="A13" s="55" t="s">
        <v>455</v>
      </c>
      <c r="B13" s="193">
        <v>6000</v>
      </c>
      <c r="C13" s="193">
        <v>4751</v>
      </c>
      <c r="D13" s="193">
        <v>-50964.53</v>
      </c>
      <c r="E13" s="193"/>
      <c r="F13" s="193"/>
    </row>
    <row r="14" spans="1:6" s="2" customFormat="1" ht="18.75" customHeight="1" x14ac:dyDescent="0.3">
      <c r="A14" s="221" t="s">
        <v>122</v>
      </c>
      <c r="B14" s="465">
        <f>SUM(B4:B13)</f>
        <v>48500</v>
      </c>
      <c r="C14" s="465">
        <f>SUM(C4:C13)</f>
        <v>54751</v>
      </c>
      <c r="D14" s="465">
        <f>SUM(D4:D13)</f>
        <v>5429</v>
      </c>
      <c r="E14" s="465">
        <f>SUM(E4:E13)</f>
        <v>0</v>
      </c>
      <c r="F14" s="465">
        <f>SUM(F4:F13)</f>
        <v>0</v>
      </c>
    </row>
    <row r="15" spans="1:6" ht="18.75" customHeight="1" x14ac:dyDescent="0.2">
      <c r="C15"/>
      <c r="D15"/>
    </row>
  </sheetData>
  <phoneticPr fontId="20" type="noConversion"/>
  <printOptions horizontalCentered="1"/>
  <pageMargins left="0.75" right="0.75" top="1" bottom="1" header="0.5" footer="0.5"/>
  <pageSetup orientation="portrait" verticalDpi="90" r:id="rId1"/>
  <headerFooter alignWithMargins="0">
    <oddFooter>&amp;L&amp;F, 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6"/>
  <sheetViews>
    <sheetView workbookViewId="0"/>
  </sheetViews>
  <sheetFormatPr defaultRowHeight="18.75" customHeight="1" x14ac:dyDescent="0.2"/>
  <cols>
    <col min="1" max="1" width="34.28515625" style="3" bestFit="1" customWidth="1"/>
    <col min="2" max="6" width="10.7109375" style="1" hidden="1" customWidth="1"/>
    <col min="7" max="8" width="11.42578125" style="1" customWidth="1"/>
    <col min="9" max="16384" width="9.140625" style="1"/>
  </cols>
  <sheetData>
    <row r="1" spans="1:9" s="2" customFormat="1" ht="18.75" customHeight="1" x14ac:dyDescent="0.25">
      <c r="A1" s="573" t="s">
        <v>518</v>
      </c>
      <c r="B1" s="91"/>
      <c r="C1" s="91"/>
      <c r="D1" s="91"/>
      <c r="E1" s="91"/>
      <c r="F1" s="91"/>
      <c r="G1" s="91"/>
      <c r="H1" s="91"/>
      <c r="I1" s="91"/>
    </row>
    <row r="2" spans="1:9" ht="18.75" customHeight="1" x14ac:dyDescent="0.25">
      <c r="A2" s="67"/>
      <c r="B2" s="51"/>
      <c r="C2" s="51"/>
      <c r="D2" s="51"/>
      <c r="E2" s="51"/>
      <c r="F2" s="51"/>
      <c r="G2" s="51"/>
      <c r="H2" s="51"/>
      <c r="I2" s="51"/>
    </row>
    <row r="3" spans="1:9" s="2" customFormat="1" ht="18.75" customHeight="1" x14ac:dyDescent="0.25">
      <c r="A3" s="29" t="s">
        <v>124</v>
      </c>
      <c r="B3" s="32">
        <v>2010</v>
      </c>
      <c r="C3" s="32">
        <v>2013</v>
      </c>
      <c r="D3" s="32">
        <v>2014</v>
      </c>
      <c r="E3" s="32">
        <v>2015</v>
      </c>
      <c r="F3" s="32">
        <v>2016</v>
      </c>
      <c r="G3" s="32">
        <v>2017</v>
      </c>
      <c r="H3" s="32">
        <v>2018</v>
      </c>
      <c r="I3" s="32">
        <v>2019</v>
      </c>
    </row>
    <row r="4" spans="1:9" s="6" customFormat="1" ht="18.75" customHeight="1" x14ac:dyDescent="0.3">
      <c r="A4" s="876"/>
      <c r="B4" s="101"/>
      <c r="C4" s="101"/>
      <c r="D4" s="101"/>
      <c r="E4" s="101"/>
      <c r="F4" s="712"/>
      <c r="G4" s="712"/>
      <c r="H4" s="712"/>
      <c r="I4" s="712"/>
    </row>
    <row r="5" spans="1:9" ht="18.75" customHeight="1" x14ac:dyDescent="0.3">
      <c r="A5" s="268" t="s">
        <v>347</v>
      </c>
      <c r="B5" s="42">
        <v>24000</v>
      </c>
      <c r="C5" s="42">
        <v>23253</v>
      </c>
      <c r="D5" s="549">
        <f>C5*1.05</f>
        <v>24415.65</v>
      </c>
      <c r="E5" s="549">
        <v>23800</v>
      </c>
      <c r="F5" s="675">
        <v>26180</v>
      </c>
      <c r="G5" s="675">
        <v>28798</v>
      </c>
      <c r="H5" s="675">
        <v>28500</v>
      </c>
      <c r="I5" s="675">
        <f>H5*1.07</f>
        <v>30495</v>
      </c>
    </row>
    <row r="6" spans="1:9" ht="18.75" customHeight="1" x14ac:dyDescent="0.3">
      <c r="A6" s="268" t="s">
        <v>346</v>
      </c>
      <c r="B6" s="42"/>
      <c r="C6" s="42"/>
      <c r="D6" s="42"/>
      <c r="E6" s="42"/>
      <c r="F6" s="676"/>
      <c r="G6" s="675"/>
      <c r="H6" s="675"/>
      <c r="I6" s="675"/>
    </row>
    <row r="7" spans="1:9" ht="18.75" customHeight="1" x14ac:dyDescent="0.3">
      <c r="A7" s="68"/>
      <c r="B7" s="42"/>
      <c r="C7" s="42"/>
      <c r="D7" s="42"/>
      <c r="E7" s="42"/>
      <c r="F7" s="676"/>
      <c r="G7" s="675"/>
      <c r="H7" s="675"/>
      <c r="I7" s="675"/>
    </row>
    <row r="8" spans="1:9" ht="18.75" customHeight="1" x14ac:dyDescent="0.3">
      <c r="A8" s="285"/>
      <c r="B8" s="42"/>
      <c r="C8" s="42"/>
      <c r="D8" s="42"/>
      <c r="E8" s="42"/>
      <c r="F8" s="676"/>
      <c r="G8" s="675"/>
      <c r="H8" s="675"/>
      <c r="I8" s="675"/>
    </row>
    <row r="9" spans="1:9" ht="18.75" customHeight="1" x14ac:dyDescent="0.3">
      <c r="A9" s="68"/>
      <c r="B9" s="180"/>
      <c r="C9" s="42"/>
      <c r="D9" s="42"/>
      <c r="E9" s="42"/>
      <c r="F9" s="676"/>
      <c r="G9" s="675"/>
      <c r="H9" s="675"/>
      <c r="I9" s="675"/>
    </row>
    <row r="10" spans="1:9" ht="18.75" customHeight="1" thickBot="1" x14ac:dyDescent="0.35">
      <c r="A10" s="68"/>
      <c r="B10" s="291">
        <v>-5480</v>
      </c>
      <c r="C10" s="43"/>
      <c r="D10" s="43"/>
      <c r="E10" s="43"/>
      <c r="F10" s="677"/>
      <c r="G10" s="678"/>
      <c r="H10" s="678"/>
      <c r="I10" s="678"/>
    </row>
    <row r="11" spans="1:9" s="2" customFormat="1" ht="18.75" customHeight="1" thickTop="1" x14ac:dyDescent="0.3">
      <c r="A11" s="184" t="s">
        <v>122</v>
      </c>
      <c r="B11" s="44">
        <f t="shared" ref="B11:H11" si="0">SUM(B4:B10)</f>
        <v>18520</v>
      </c>
      <c r="C11" s="44">
        <f t="shared" si="0"/>
        <v>23253</v>
      </c>
      <c r="D11" s="44">
        <f t="shared" si="0"/>
        <v>24415.65</v>
      </c>
      <c r="E11" s="44">
        <f t="shared" si="0"/>
        <v>23800</v>
      </c>
      <c r="F11" s="679">
        <f t="shared" si="0"/>
        <v>26180</v>
      </c>
      <c r="G11" s="680">
        <f t="shared" ref="G11" si="1">SUM(G4:G10)</f>
        <v>28798</v>
      </c>
      <c r="H11" s="680">
        <f t="shared" si="0"/>
        <v>28500</v>
      </c>
      <c r="I11" s="680">
        <f t="shared" ref="I11" si="2">SUM(I4:I10)</f>
        <v>30495</v>
      </c>
    </row>
    <row r="12" spans="1:9" ht="18.75" customHeight="1" x14ac:dyDescent="0.25">
      <c r="A12" s="24"/>
      <c r="B12" s="26"/>
      <c r="C12" s="26"/>
    </row>
    <row r="13" spans="1:9" ht="18.75" customHeight="1" x14ac:dyDescent="0.25">
      <c r="A13" s="261"/>
      <c r="B13" s="26"/>
      <c r="C13" s="26"/>
    </row>
    <row r="14" spans="1:9" ht="18.75" customHeight="1" x14ac:dyDescent="0.3">
      <c r="A14" s="236"/>
      <c r="B14" s="26"/>
      <c r="C14" s="26"/>
    </row>
    <row r="15" spans="1:9" ht="18.75" customHeight="1" x14ac:dyDescent="0.3">
      <c r="A15" s="236"/>
      <c r="B15" s="26"/>
      <c r="C15" s="26"/>
    </row>
    <row r="16" spans="1:9" ht="18.75" customHeight="1" x14ac:dyDescent="0.25">
      <c r="A16" s="95"/>
      <c r="B16" s="26"/>
    </row>
    <row r="17" spans="1:8" ht="18.75" customHeight="1" x14ac:dyDescent="0.25">
      <c r="A17" s="95"/>
      <c r="B17" s="26"/>
    </row>
    <row r="18" spans="1:8" ht="18.75" customHeight="1" x14ac:dyDescent="0.25">
      <c r="A18" s="95"/>
    </row>
    <row r="19" spans="1:8" ht="18.75" customHeight="1" x14ac:dyDescent="0.3">
      <c r="A19" s="17"/>
    </row>
    <row r="20" spans="1:8" ht="18.75" customHeight="1" x14ac:dyDescent="0.3">
      <c r="B20" s="27"/>
      <c r="C20" s="27"/>
      <c r="D20" s="27"/>
      <c r="E20" s="27"/>
      <c r="F20" s="27"/>
      <c r="G20" s="27"/>
      <c r="H20" s="27"/>
    </row>
    <row r="21" spans="1:8" ht="18.75" customHeight="1" x14ac:dyDescent="0.3">
      <c r="A21" s="17"/>
      <c r="B21" s="27"/>
      <c r="C21" s="27"/>
      <c r="D21" s="27"/>
      <c r="E21" s="27"/>
      <c r="F21" s="27"/>
      <c r="G21" s="27"/>
      <c r="H21" s="27"/>
    </row>
    <row r="22" spans="1:8" ht="18.75" customHeight="1" x14ac:dyDescent="0.3">
      <c r="A22" s="17"/>
      <c r="B22" s="27"/>
      <c r="C22" s="27"/>
      <c r="D22" s="27"/>
      <c r="E22" s="27"/>
      <c r="F22" s="27"/>
      <c r="G22" s="27"/>
      <c r="H22" s="27"/>
    </row>
    <row r="23" spans="1:8" ht="18.75" customHeight="1" x14ac:dyDescent="0.3">
      <c r="A23" s="17"/>
      <c r="B23" s="27"/>
      <c r="C23" s="27"/>
      <c r="D23" s="27"/>
      <c r="E23" s="27"/>
      <c r="F23" s="27"/>
      <c r="G23" s="27"/>
      <c r="H23" s="27"/>
    </row>
    <row r="24" spans="1:8" ht="18.75" customHeight="1" x14ac:dyDescent="0.3">
      <c r="A24" s="17"/>
      <c r="B24" s="27"/>
      <c r="C24" s="27"/>
      <c r="D24" s="27"/>
      <c r="E24" s="27"/>
      <c r="F24" s="27"/>
      <c r="G24" s="27"/>
      <c r="H24" s="27"/>
    </row>
    <row r="25" spans="1:8" ht="18.75" customHeight="1" x14ac:dyDescent="0.3">
      <c r="A25" s="17"/>
      <c r="B25" s="27"/>
      <c r="C25" s="27"/>
      <c r="D25" s="27"/>
      <c r="E25" s="27"/>
      <c r="F25" s="27"/>
      <c r="G25" s="27"/>
      <c r="H25" s="27"/>
    </row>
    <row r="26" spans="1:8" ht="18.75" customHeight="1" x14ac:dyDescent="0.3">
      <c r="A26" s="17"/>
      <c r="B26" s="27"/>
      <c r="C26" s="27"/>
      <c r="D26" s="27"/>
      <c r="E26" s="27"/>
      <c r="F26" s="27"/>
      <c r="G26" s="27"/>
      <c r="H26" s="27"/>
    </row>
    <row r="27" spans="1:8" ht="18.75" customHeight="1" x14ac:dyDescent="0.3">
      <c r="A27" s="17"/>
      <c r="B27" s="27"/>
      <c r="C27" s="27"/>
      <c r="D27" s="27"/>
      <c r="E27" s="27"/>
      <c r="F27" s="27"/>
      <c r="G27" s="27"/>
      <c r="H27" s="27"/>
    </row>
    <row r="28" spans="1:8" ht="18.75" customHeight="1" x14ac:dyDescent="0.3">
      <c r="A28" s="17"/>
      <c r="B28" s="27"/>
      <c r="C28" s="27"/>
      <c r="D28" s="27"/>
      <c r="E28" s="27"/>
      <c r="F28" s="27"/>
      <c r="G28" s="27"/>
      <c r="H28" s="27"/>
    </row>
    <row r="29" spans="1:8" ht="18.75" customHeight="1" x14ac:dyDescent="0.3">
      <c r="A29" s="17"/>
      <c r="B29" s="27"/>
      <c r="C29" s="27"/>
      <c r="D29" s="27"/>
      <c r="E29" s="27"/>
      <c r="F29" s="27"/>
      <c r="G29" s="27"/>
      <c r="H29" s="27"/>
    </row>
    <row r="30" spans="1:8" ht="18.75" customHeight="1" x14ac:dyDescent="0.3">
      <c r="A30" s="17"/>
      <c r="B30" s="27"/>
      <c r="C30" s="27"/>
      <c r="D30" s="27"/>
      <c r="E30" s="27"/>
      <c r="F30" s="27"/>
      <c r="G30" s="27"/>
      <c r="H30" s="27"/>
    </row>
    <row r="31" spans="1:8" ht="18.75" customHeight="1" x14ac:dyDescent="0.3">
      <c r="A31" s="17"/>
      <c r="B31" s="27"/>
      <c r="C31" s="27"/>
      <c r="D31" s="27"/>
      <c r="E31" s="27"/>
      <c r="F31" s="27"/>
      <c r="G31" s="27"/>
      <c r="H31" s="27"/>
    </row>
    <row r="32" spans="1:8" ht="18.75" customHeight="1" x14ac:dyDescent="0.3">
      <c r="A32" s="17"/>
      <c r="B32" s="27"/>
      <c r="C32" s="27"/>
      <c r="D32" s="27"/>
      <c r="E32" s="27"/>
      <c r="F32" s="27"/>
      <c r="G32" s="27"/>
      <c r="H32" s="27"/>
    </row>
    <row r="33" spans="1:8" ht="18.75" customHeight="1" x14ac:dyDescent="0.3">
      <c r="A33" s="17"/>
      <c r="B33" s="27"/>
      <c r="C33" s="27"/>
      <c r="D33" s="27"/>
      <c r="E33" s="27"/>
      <c r="F33" s="27"/>
      <c r="G33" s="27"/>
      <c r="H33" s="27"/>
    </row>
    <row r="34" spans="1:8" ht="18.75" customHeight="1" x14ac:dyDescent="0.3">
      <c r="A34" s="17"/>
      <c r="B34" s="27"/>
      <c r="C34" s="27"/>
      <c r="D34" s="27"/>
      <c r="E34" s="27"/>
      <c r="F34" s="27"/>
      <c r="G34" s="27"/>
      <c r="H34" s="27"/>
    </row>
    <row r="35" spans="1:8" ht="18.75" customHeight="1" x14ac:dyDescent="0.3">
      <c r="A35" s="97"/>
      <c r="B35" s="27"/>
      <c r="C35" s="27"/>
      <c r="D35" s="27"/>
      <c r="E35" s="27"/>
      <c r="F35" s="27"/>
      <c r="G35" s="27"/>
      <c r="H35" s="27"/>
    </row>
    <row r="36" spans="1:8" ht="18.75" customHeight="1" x14ac:dyDescent="0.3">
      <c r="A36" s="97"/>
      <c r="B36" s="27"/>
      <c r="C36" s="27"/>
      <c r="D36" s="27"/>
      <c r="E36" s="27"/>
      <c r="F36" s="27"/>
      <c r="G36" s="27"/>
      <c r="H36" s="27"/>
    </row>
  </sheetData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I33"/>
  <sheetViews>
    <sheetView workbookViewId="0"/>
  </sheetViews>
  <sheetFormatPr defaultRowHeight="18.75" customHeight="1" x14ac:dyDescent="0.3"/>
  <cols>
    <col min="1" max="1" width="35.5703125" style="97" customWidth="1"/>
    <col min="2" max="2" width="11" style="45" hidden="1" customWidth="1"/>
    <col min="3" max="4" width="11" style="27" hidden="1" customWidth="1"/>
    <col min="5" max="6" width="10.28515625" style="27" hidden="1" customWidth="1"/>
    <col min="7" max="8" width="10.28515625" style="27" customWidth="1"/>
    <col min="9" max="16384" width="9.140625" style="27"/>
  </cols>
  <sheetData>
    <row r="1" spans="1:9" s="46" customFormat="1" ht="18.75" customHeight="1" x14ac:dyDescent="0.3">
      <c r="A1" s="216" t="s">
        <v>336</v>
      </c>
      <c r="B1" s="203"/>
      <c r="C1" s="203"/>
      <c r="D1" s="203"/>
      <c r="E1" s="203"/>
      <c r="F1" s="203"/>
      <c r="G1" s="203"/>
      <c r="H1" s="203"/>
      <c r="I1" s="203"/>
    </row>
    <row r="2" spans="1:9" ht="18.75" customHeight="1" x14ac:dyDescent="0.3">
      <c r="A2" s="98"/>
      <c r="B2" s="49"/>
      <c r="C2" s="49"/>
      <c r="D2" s="49"/>
      <c r="E2" s="49"/>
      <c r="F2" s="49"/>
      <c r="G2" s="49"/>
      <c r="H2" s="49"/>
      <c r="I2" s="49"/>
    </row>
    <row r="3" spans="1:9" s="46" customFormat="1" ht="18.75" customHeight="1" x14ac:dyDescent="0.3">
      <c r="A3" s="41" t="s">
        <v>124</v>
      </c>
      <c r="B3" s="99">
        <v>2010</v>
      </c>
      <c r="C3" s="99">
        <v>2013</v>
      </c>
      <c r="D3" s="99">
        <v>2014</v>
      </c>
      <c r="E3" s="99">
        <v>2015</v>
      </c>
      <c r="F3" s="99">
        <v>2016</v>
      </c>
      <c r="G3" s="99">
        <v>2017</v>
      </c>
      <c r="H3" s="99">
        <v>2018</v>
      </c>
      <c r="I3" s="99">
        <v>2019</v>
      </c>
    </row>
    <row r="4" spans="1:9" s="46" customFormat="1" ht="18.75" customHeight="1" x14ac:dyDescent="0.3">
      <c r="A4" s="41"/>
      <c r="B4" s="128"/>
      <c r="C4" s="128"/>
      <c r="D4" s="128"/>
      <c r="E4" s="128"/>
      <c r="F4" s="719"/>
      <c r="G4" s="719"/>
      <c r="H4" s="719"/>
      <c r="I4" s="719"/>
    </row>
    <row r="5" spans="1:9" s="46" customFormat="1" ht="21.95" customHeight="1" x14ac:dyDescent="0.3">
      <c r="A5" s="63" t="s">
        <v>7</v>
      </c>
      <c r="B5" s="121">
        <v>200</v>
      </c>
      <c r="C5" s="121">
        <v>100</v>
      </c>
      <c r="D5" s="121">
        <v>150</v>
      </c>
      <c r="E5" s="121">
        <v>150</v>
      </c>
      <c r="F5" s="733">
        <v>200</v>
      </c>
      <c r="G5" s="733">
        <v>200</v>
      </c>
      <c r="H5" s="733">
        <v>200</v>
      </c>
      <c r="I5" s="733">
        <v>200</v>
      </c>
    </row>
    <row r="6" spans="1:9" s="46" customFormat="1" ht="21.95" customHeight="1" x14ac:dyDescent="0.3">
      <c r="A6" s="63" t="s">
        <v>481</v>
      </c>
      <c r="B6" s="121">
        <v>300</v>
      </c>
      <c r="C6" s="121">
        <v>150</v>
      </c>
      <c r="D6" s="121">
        <v>150</v>
      </c>
      <c r="E6" s="121">
        <v>150</v>
      </c>
      <c r="F6" s="733">
        <v>150</v>
      </c>
      <c r="G6" s="733">
        <v>0</v>
      </c>
      <c r="H6" s="733">
        <v>100</v>
      </c>
      <c r="I6" s="733">
        <v>100</v>
      </c>
    </row>
    <row r="7" spans="1:9" s="46" customFormat="1" ht="21.95" hidden="1" customHeight="1" x14ac:dyDescent="0.3">
      <c r="A7" s="63" t="s">
        <v>324</v>
      </c>
      <c r="B7" s="121">
        <v>1000</v>
      </c>
      <c r="C7" s="121">
        <v>200</v>
      </c>
      <c r="D7" s="121">
        <v>200</v>
      </c>
      <c r="E7" s="577"/>
      <c r="F7" s="783"/>
      <c r="G7" s="783"/>
      <c r="H7" s="783"/>
      <c r="I7" s="783"/>
    </row>
    <row r="8" spans="1:9" s="46" customFormat="1" ht="21.95" hidden="1" customHeight="1" x14ac:dyDescent="0.3">
      <c r="A8" s="63" t="s">
        <v>8</v>
      </c>
      <c r="B8" s="121">
        <v>125</v>
      </c>
      <c r="C8" s="121">
        <v>125</v>
      </c>
      <c r="D8" s="121">
        <v>100</v>
      </c>
      <c r="E8" s="577"/>
      <c r="F8" s="783"/>
      <c r="G8" s="783"/>
      <c r="H8" s="783"/>
      <c r="I8" s="783"/>
    </row>
    <row r="9" spans="1:9" s="46" customFormat="1" ht="21.95" customHeight="1" x14ac:dyDescent="0.3">
      <c r="A9" s="63" t="s">
        <v>760</v>
      </c>
      <c r="B9" s="53">
        <v>500</v>
      </c>
      <c r="C9" s="121">
        <v>300</v>
      </c>
      <c r="D9" s="121">
        <v>300</v>
      </c>
      <c r="E9" s="577">
        <v>300</v>
      </c>
      <c r="F9" s="783">
        <v>300</v>
      </c>
      <c r="G9" s="783">
        <v>300</v>
      </c>
      <c r="H9" s="783">
        <v>350</v>
      </c>
      <c r="I9" s="783">
        <v>350</v>
      </c>
    </row>
    <row r="10" spans="1:9" s="46" customFormat="1" ht="21.95" customHeight="1" x14ac:dyDescent="0.3">
      <c r="A10" s="63" t="s">
        <v>6</v>
      </c>
      <c r="B10" s="121">
        <v>300</v>
      </c>
      <c r="C10" s="53">
        <v>200</v>
      </c>
      <c r="D10" s="53">
        <v>0</v>
      </c>
      <c r="E10" s="105">
        <v>0</v>
      </c>
      <c r="F10" s="721">
        <v>150</v>
      </c>
      <c r="G10" s="721">
        <v>150</v>
      </c>
      <c r="H10" s="721">
        <v>150</v>
      </c>
      <c r="I10" s="721">
        <v>150</v>
      </c>
    </row>
    <row r="11" spans="1:9" s="46" customFormat="1" ht="21.95" customHeight="1" x14ac:dyDescent="0.3">
      <c r="A11" s="63" t="s">
        <v>5</v>
      </c>
      <c r="B11" s="121">
        <v>300</v>
      </c>
      <c r="C11" s="121">
        <v>200</v>
      </c>
      <c r="D11" s="121">
        <v>0</v>
      </c>
      <c r="E11" s="577">
        <v>0</v>
      </c>
      <c r="F11" s="783">
        <v>150</v>
      </c>
      <c r="G11" s="783">
        <v>150</v>
      </c>
      <c r="H11" s="783">
        <v>150</v>
      </c>
      <c r="I11" s="783">
        <v>150</v>
      </c>
    </row>
    <row r="12" spans="1:9" s="46" customFormat="1" ht="21.95" hidden="1" customHeight="1" x14ac:dyDescent="0.3">
      <c r="A12" s="63" t="s">
        <v>9</v>
      </c>
      <c r="B12" s="121">
        <v>200</v>
      </c>
      <c r="C12" s="121">
        <v>150</v>
      </c>
      <c r="D12" s="121">
        <v>100</v>
      </c>
      <c r="E12" s="577"/>
      <c r="F12" s="783"/>
      <c r="G12" s="783"/>
      <c r="H12" s="783"/>
      <c r="I12" s="783"/>
    </row>
    <row r="13" spans="1:9" s="46" customFormat="1" ht="21.95" hidden="1" customHeight="1" x14ac:dyDescent="0.3">
      <c r="A13" s="63" t="s">
        <v>507</v>
      </c>
      <c r="B13" s="568"/>
      <c r="C13" s="241"/>
      <c r="D13" s="241"/>
      <c r="E13" s="241"/>
      <c r="F13" s="724"/>
      <c r="G13" s="724"/>
      <c r="H13" s="724"/>
      <c r="I13" s="724"/>
    </row>
    <row r="14" spans="1:9" s="46" customFormat="1" ht="21.95" customHeight="1" x14ac:dyDescent="0.3">
      <c r="A14" s="63"/>
      <c r="B14" s="568"/>
      <c r="C14" s="241"/>
      <c r="D14" s="241"/>
      <c r="E14" s="241"/>
      <c r="F14" s="724"/>
      <c r="G14" s="724"/>
      <c r="H14" s="724"/>
      <c r="I14" s="724"/>
    </row>
    <row r="15" spans="1:9" s="46" customFormat="1" ht="21.95" customHeight="1" x14ac:dyDescent="0.3">
      <c r="A15" s="63"/>
      <c r="B15" s="568"/>
      <c r="C15" s="241"/>
      <c r="D15" s="241"/>
      <c r="E15" s="241"/>
      <c r="F15" s="724"/>
      <c r="G15" s="724"/>
      <c r="H15" s="724"/>
      <c r="I15" s="724"/>
    </row>
    <row r="16" spans="1:9" ht="21.95" customHeight="1" thickBot="1" x14ac:dyDescent="0.35">
      <c r="A16" s="98"/>
      <c r="B16" s="242"/>
      <c r="C16" s="243"/>
      <c r="D16" s="243"/>
      <c r="E16" s="243"/>
      <c r="F16" s="784"/>
      <c r="G16" s="784"/>
      <c r="H16" s="784"/>
      <c r="I16" s="784"/>
    </row>
    <row r="17" spans="1:9" ht="21.95" customHeight="1" thickTop="1" x14ac:dyDescent="0.3">
      <c r="A17" s="103" t="s">
        <v>122</v>
      </c>
      <c r="B17" s="89">
        <f t="shared" ref="B17:H17" si="0">SUM(B4:B16)</f>
        <v>2925</v>
      </c>
      <c r="C17" s="89">
        <f t="shared" si="0"/>
        <v>1425</v>
      </c>
      <c r="D17" s="89">
        <f t="shared" si="0"/>
        <v>1000</v>
      </c>
      <c r="E17" s="89">
        <f t="shared" si="0"/>
        <v>600</v>
      </c>
      <c r="F17" s="760">
        <f t="shared" si="0"/>
        <v>950</v>
      </c>
      <c r="G17" s="760">
        <f t="shared" ref="G17" si="1">SUM(G4:G16)</f>
        <v>800</v>
      </c>
      <c r="H17" s="760">
        <f t="shared" si="0"/>
        <v>950</v>
      </c>
      <c r="I17" s="760">
        <f t="shared" ref="I17" si="2">SUM(I4:I16)</f>
        <v>950</v>
      </c>
    </row>
    <row r="18" spans="1:9" ht="18.75" customHeight="1" x14ac:dyDescent="0.3">
      <c r="A18" s="111"/>
      <c r="B18" s="111"/>
    </row>
    <row r="19" spans="1:9" ht="18.75" customHeight="1" x14ac:dyDescent="0.3">
      <c r="A19" s="111"/>
      <c r="B19" s="111"/>
    </row>
    <row r="20" spans="1:9" ht="18.75" customHeight="1" x14ac:dyDescent="0.3">
      <c r="A20" s="111"/>
      <c r="B20" s="111"/>
    </row>
    <row r="21" spans="1:9" ht="18.75" customHeight="1" x14ac:dyDescent="0.3">
      <c r="A21" s="111"/>
      <c r="B21" s="111"/>
    </row>
    <row r="22" spans="1:9" ht="18.75" customHeight="1" x14ac:dyDescent="0.3">
      <c r="A22" s="111"/>
      <c r="B22" s="111"/>
    </row>
    <row r="23" spans="1:9" ht="18.75" customHeight="1" x14ac:dyDescent="0.3">
      <c r="A23" s="111"/>
      <c r="B23" s="111"/>
    </row>
    <row r="24" spans="1:9" ht="18.75" customHeight="1" x14ac:dyDescent="0.3">
      <c r="A24" s="111"/>
      <c r="B24" s="111"/>
    </row>
    <row r="25" spans="1:9" ht="18.75" customHeight="1" x14ac:dyDescent="0.3">
      <c r="A25" s="111"/>
      <c r="B25" s="111"/>
    </row>
    <row r="26" spans="1:9" ht="18.75" customHeight="1" x14ac:dyDescent="0.3">
      <c r="A26" s="111"/>
      <c r="B26" s="111"/>
    </row>
    <row r="27" spans="1:9" ht="18.75" customHeight="1" x14ac:dyDescent="0.3">
      <c r="A27" s="111"/>
      <c r="B27" s="111"/>
    </row>
    <row r="28" spans="1:9" ht="18.75" customHeight="1" x14ac:dyDescent="0.3">
      <c r="A28" s="111"/>
      <c r="B28" s="111"/>
    </row>
    <row r="29" spans="1:9" ht="18.75" customHeight="1" x14ac:dyDescent="0.3">
      <c r="A29" s="111"/>
      <c r="B29" s="111"/>
    </row>
    <row r="30" spans="1:9" ht="18.75" customHeight="1" x14ac:dyDescent="0.3">
      <c r="A30" s="111"/>
      <c r="B30" s="111"/>
    </row>
    <row r="31" spans="1:9" ht="18.75" customHeight="1" x14ac:dyDescent="0.3">
      <c r="A31" s="111"/>
      <c r="B31" s="111"/>
    </row>
    <row r="32" spans="1:9" ht="18.75" customHeight="1" x14ac:dyDescent="0.3">
      <c r="A32" s="111"/>
      <c r="B32" s="111"/>
    </row>
    <row r="33" spans="1:2" ht="18.75" customHeight="1" x14ac:dyDescent="0.3">
      <c r="A33" s="111"/>
      <c r="B33" s="111"/>
    </row>
  </sheetData>
  <sortState ref="A5:E13">
    <sortCondition ref="A5"/>
  </sortState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I31"/>
  <sheetViews>
    <sheetView workbookViewId="0"/>
  </sheetViews>
  <sheetFormatPr defaultRowHeight="18.75" customHeight="1" x14ac:dyDescent="0.3"/>
  <cols>
    <col min="1" max="1" width="34.85546875" style="97" customWidth="1"/>
    <col min="2" max="6" width="10.7109375" style="27" hidden="1" customWidth="1"/>
    <col min="7" max="8" width="10.7109375" style="27" customWidth="1"/>
    <col min="9" max="16384" width="9.140625" style="27"/>
  </cols>
  <sheetData>
    <row r="1" spans="1:9" s="46" customFormat="1" ht="18.75" customHeight="1" x14ac:dyDescent="0.3">
      <c r="A1" s="216" t="s">
        <v>559</v>
      </c>
      <c r="B1" s="203"/>
      <c r="C1" s="190"/>
      <c r="D1" s="190"/>
      <c r="E1" s="190"/>
      <c r="F1" s="190"/>
      <c r="G1" s="190"/>
      <c r="H1" s="190"/>
      <c r="I1" s="190"/>
    </row>
    <row r="2" spans="1:9" ht="18.75" customHeight="1" x14ac:dyDescent="0.3">
      <c r="A2" s="98"/>
      <c r="B2" s="49"/>
      <c r="C2" s="98"/>
      <c r="D2" s="98"/>
      <c r="E2" s="98"/>
      <c r="F2" s="98"/>
      <c r="G2" s="98"/>
      <c r="H2" s="98"/>
      <c r="I2" s="98"/>
    </row>
    <row r="3" spans="1:9" s="46" customFormat="1" ht="18.75" customHeight="1" x14ac:dyDescent="0.3">
      <c r="A3" s="41" t="s">
        <v>124</v>
      </c>
      <c r="B3" s="41">
        <v>2010</v>
      </c>
      <c r="C3" s="41">
        <v>2013</v>
      </c>
      <c r="D3" s="41">
        <v>2014</v>
      </c>
      <c r="E3" s="41">
        <v>2015</v>
      </c>
      <c r="F3" s="41">
        <v>2016</v>
      </c>
      <c r="G3" s="41">
        <v>2017</v>
      </c>
      <c r="H3" s="41">
        <v>2018</v>
      </c>
      <c r="I3" s="41">
        <v>2019</v>
      </c>
    </row>
    <row r="4" spans="1:9" s="123" customFormat="1" ht="18.75" customHeight="1" x14ac:dyDescent="0.3">
      <c r="A4" s="467"/>
      <c r="B4" s="246"/>
      <c r="C4" s="246"/>
      <c r="D4" s="246"/>
      <c r="E4" s="246"/>
      <c r="F4" s="712"/>
      <c r="G4" s="712"/>
      <c r="H4" s="712"/>
      <c r="I4" s="712"/>
    </row>
    <row r="5" spans="1:9" s="46" customFormat="1" ht="18.75" hidden="1" customHeight="1" x14ac:dyDescent="0.3">
      <c r="A5" s="63" t="s">
        <v>313</v>
      </c>
      <c r="B5" s="62">
        <v>400</v>
      </c>
      <c r="C5" s="62"/>
      <c r="D5" s="62"/>
      <c r="E5" s="62"/>
      <c r="F5" s="665"/>
      <c r="G5" s="665"/>
      <c r="H5" s="665"/>
      <c r="I5" s="665"/>
    </row>
    <row r="6" spans="1:9" ht="18.75" customHeight="1" x14ac:dyDescent="0.3">
      <c r="A6" s="63" t="s">
        <v>590</v>
      </c>
      <c r="B6" s="62">
        <v>400</v>
      </c>
      <c r="C6" s="62"/>
      <c r="D6" s="197">
        <v>1700</v>
      </c>
      <c r="E6" s="197">
        <v>4400</v>
      </c>
      <c r="F6" s="666">
        <v>5000</v>
      </c>
      <c r="G6" s="666">
        <f>2000*2</f>
        <v>4000</v>
      </c>
      <c r="H6" s="666">
        <f>2200*2</f>
        <v>4400</v>
      </c>
      <c r="I6" s="666">
        <f>2200*2</f>
        <v>4400</v>
      </c>
    </row>
    <row r="7" spans="1:9" s="46" customFormat="1" ht="18.75" customHeight="1" x14ac:dyDescent="0.3">
      <c r="A7" s="63" t="s">
        <v>185</v>
      </c>
      <c r="B7" s="42">
        <v>600</v>
      </c>
      <c r="C7" s="42">
        <v>400</v>
      </c>
      <c r="D7" s="42">
        <v>500</v>
      </c>
      <c r="E7" s="42">
        <v>500</v>
      </c>
      <c r="F7" s="676">
        <v>800</v>
      </c>
      <c r="G7" s="676">
        <v>1000</v>
      </c>
      <c r="H7" s="676">
        <v>1000</v>
      </c>
      <c r="I7" s="676">
        <v>1000</v>
      </c>
    </row>
    <row r="8" spans="1:9" ht="16.5" customHeight="1" x14ac:dyDescent="0.3">
      <c r="A8" s="63" t="s">
        <v>564</v>
      </c>
      <c r="B8" s="42">
        <v>1000</v>
      </c>
      <c r="C8" s="42">
        <v>500</v>
      </c>
      <c r="D8" s="42">
        <v>600</v>
      </c>
      <c r="E8" s="42">
        <v>600</v>
      </c>
      <c r="F8" s="676">
        <v>1000</v>
      </c>
      <c r="G8" s="676">
        <v>1500</v>
      </c>
      <c r="H8" s="676">
        <v>2100</v>
      </c>
      <c r="I8" s="676">
        <v>1800</v>
      </c>
    </row>
    <row r="9" spans="1:9" ht="16.5" x14ac:dyDescent="0.3">
      <c r="A9" s="63" t="s">
        <v>107</v>
      </c>
      <c r="B9" s="42"/>
      <c r="C9" s="42">
        <v>100</v>
      </c>
      <c r="D9" s="42">
        <v>100</v>
      </c>
      <c r="E9" s="42">
        <v>100</v>
      </c>
      <c r="F9" s="676">
        <v>100</v>
      </c>
      <c r="G9" s="676">
        <v>200</v>
      </c>
      <c r="H9" s="676">
        <v>200</v>
      </c>
      <c r="I9" s="676">
        <v>200</v>
      </c>
    </row>
    <row r="10" spans="1:9" ht="16.5" x14ac:dyDescent="0.3">
      <c r="A10" s="63" t="s">
        <v>601</v>
      </c>
      <c r="B10" s="62"/>
      <c r="C10" s="62"/>
      <c r="D10" s="62"/>
      <c r="E10" s="62"/>
      <c r="F10" s="665">
        <v>2000</v>
      </c>
      <c r="G10" s="665">
        <v>2500</v>
      </c>
      <c r="H10" s="665">
        <v>3000</v>
      </c>
      <c r="I10" s="665">
        <v>3200</v>
      </c>
    </row>
    <row r="11" spans="1:9" ht="16.5" customHeight="1" x14ac:dyDescent="0.3">
      <c r="A11" s="63" t="s">
        <v>602</v>
      </c>
      <c r="B11" s="107"/>
      <c r="C11" s="107"/>
      <c r="D11" s="107"/>
      <c r="E11" s="107"/>
      <c r="F11" s="755">
        <v>2000</v>
      </c>
      <c r="G11" s="755">
        <v>2000</v>
      </c>
      <c r="H11" s="755">
        <v>2000</v>
      </c>
      <c r="I11" s="755">
        <v>2000</v>
      </c>
    </row>
    <row r="12" spans="1:9" ht="16.5" customHeight="1" x14ac:dyDescent="0.3">
      <c r="A12" s="63" t="s">
        <v>692</v>
      </c>
      <c r="B12" s="107"/>
      <c r="C12" s="107"/>
      <c r="D12" s="107"/>
      <c r="E12" s="107"/>
      <c r="F12" s="755">
        <v>0</v>
      </c>
      <c r="G12" s="755">
        <v>0</v>
      </c>
      <c r="H12" s="755">
        <v>3000</v>
      </c>
      <c r="I12" s="755">
        <v>0</v>
      </c>
    </row>
    <row r="13" spans="1:9" ht="16.5" customHeight="1" x14ac:dyDescent="0.3">
      <c r="A13" s="63" t="s">
        <v>761</v>
      </c>
      <c r="B13" s="107"/>
      <c r="C13" s="107"/>
      <c r="D13" s="107"/>
      <c r="E13" s="107"/>
      <c r="F13" s="755"/>
      <c r="G13" s="755"/>
      <c r="H13" s="755"/>
      <c r="I13" s="755">
        <v>18000</v>
      </c>
    </row>
    <row r="14" spans="1:9" ht="16.5" customHeight="1" x14ac:dyDescent="0.3">
      <c r="A14" s="63"/>
      <c r="B14" s="107">
        <v>-1000</v>
      </c>
      <c r="C14" s="107"/>
      <c r="D14" s="107"/>
      <c r="E14" s="107"/>
      <c r="F14" s="755"/>
      <c r="G14" s="755"/>
      <c r="H14" s="755"/>
      <c r="I14" s="755"/>
    </row>
    <row r="15" spans="1:9" ht="18.75" customHeight="1" x14ac:dyDescent="0.3">
      <c r="A15" s="221" t="s">
        <v>122</v>
      </c>
      <c r="B15" s="468">
        <f t="shared" ref="B15:H15" si="0">SUM(B5:B14)</f>
        <v>1400</v>
      </c>
      <c r="C15" s="468">
        <f t="shared" si="0"/>
        <v>1000</v>
      </c>
      <c r="D15" s="468">
        <f t="shared" si="0"/>
        <v>2900</v>
      </c>
      <c r="E15" s="468">
        <f t="shared" si="0"/>
        <v>5600</v>
      </c>
      <c r="F15" s="785">
        <f t="shared" si="0"/>
        <v>10900</v>
      </c>
      <c r="G15" s="785">
        <f t="shared" ref="G15" si="1">SUM(G5:G14)</f>
        <v>11200</v>
      </c>
      <c r="H15" s="785">
        <f t="shared" si="0"/>
        <v>15700</v>
      </c>
      <c r="I15" s="785">
        <f t="shared" ref="I15" si="2">SUM(I5:I14)</f>
        <v>30600</v>
      </c>
    </row>
    <row r="16" spans="1:9" ht="18.75" customHeight="1" x14ac:dyDescent="0.3">
      <c r="A16" s="27"/>
      <c r="B16" s="111"/>
      <c r="C16" s="111"/>
      <c r="D16" s="111"/>
    </row>
    <row r="17" spans="1:2" ht="18.75" customHeight="1" x14ac:dyDescent="0.3">
      <c r="A17" s="27"/>
      <c r="B17" s="111"/>
    </row>
    <row r="18" spans="1:2" ht="18.75" customHeight="1" x14ac:dyDescent="0.3">
      <c r="A18" s="27"/>
      <c r="B18" s="111"/>
    </row>
    <row r="19" spans="1:2" ht="18.75" customHeight="1" x14ac:dyDescent="0.3">
      <c r="A19" s="111"/>
    </row>
    <row r="20" spans="1:2" ht="18.75" customHeight="1" x14ac:dyDescent="0.3">
      <c r="A20" s="111"/>
    </row>
    <row r="21" spans="1:2" ht="18.75" customHeight="1" x14ac:dyDescent="0.3">
      <c r="A21" s="111"/>
    </row>
    <row r="22" spans="1:2" ht="18.75" customHeight="1" x14ac:dyDescent="0.3">
      <c r="A22" s="111"/>
    </row>
    <row r="23" spans="1:2" ht="18.75" customHeight="1" x14ac:dyDescent="0.3">
      <c r="A23" s="111"/>
    </row>
    <row r="24" spans="1:2" ht="18.75" customHeight="1" x14ac:dyDescent="0.3">
      <c r="A24" s="111"/>
    </row>
    <row r="25" spans="1:2" ht="18.75" customHeight="1" x14ac:dyDescent="0.3">
      <c r="A25" s="111"/>
    </row>
    <row r="26" spans="1:2" ht="18.75" customHeight="1" x14ac:dyDescent="0.3">
      <c r="A26" s="111"/>
    </row>
    <row r="27" spans="1:2" ht="18.75" customHeight="1" x14ac:dyDescent="0.3">
      <c r="A27" s="111"/>
    </row>
    <row r="28" spans="1:2" ht="18.75" customHeight="1" x14ac:dyDescent="0.3">
      <c r="A28" s="111"/>
    </row>
    <row r="29" spans="1:2" ht="18.75" customHeight="1" x14ac:dyDescent="0.3">
      <c r="A29" s="111"/>
    </row>
    <row r="30" spans="1:2" ht="18.75" customHeight="1" x14ac:dyDescent="0.3">
      <c r="A30" s="111"/>
    </row>
    <row r="31" spans="1:2" ht="18.75" customHeight="1" x14ac:dyDescent="0.3">
      <c r="A31" s="111"/>
    </row>
  </sheetData>
  <sortState ref="A5:E10">
    <sortCondition ref="A5"/>
  </sortState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9"/>
  <sheetViews>
    <sheetView zoomScaleNormal="100" workbookViewId="0">
      <pane ySplit="3" topLeftCell="A4" activePane="bottomLeft" state="frozen"/>
      <selection pane="bottomLeft"/>
    </sheetView>
  </sheetViews>
  <sheetFormatPr defaultRowHeight="18.75" customHeight="1" x14ac:dyDescent="0.25"/>
  <cols>
    <col min="1" max="1" width="39.5703125" style="60" customWidth="1"/>
    <col min="2" max="3" width="9.28515625" style="26" hidden="1" customWidth="1"/>
    <col min="4" max="4" width="0" style="26" hidden="1" customWidth="1"/>
    <col min="5" max="5" width="8.85546875" style="26" hidden="1" customWidth="1"/>
    <col min="6" max="6" width="9.5703125" style="26" hidden="1" customWidth="1"/>
    <col min="7" max="7" width="9.5703125" style="26" bestFit="1" customWidth="1"/>
    <col min="8" max="8" width="9.28515625" style="26" bestFit="1" customWidth="1"/>
    <col min="9" max="9" width="11.28515625" style="26" bestFit="1" customWidth="1"/>
    <col min="10" max="16384" width="9.140625" style="26"/>
  </cols>
  <sheetData>
    <row r="1" spans="1:10" s="93" customFormat="1" ht="18.75" customHeight="1" x14ac:dyDescent="0.25">
      <c r="A1" s="572" t="s">
        <v>197</v>
      </c>
      <c r="B1" s="209"/>
      <c r="C1" s="209"/>
      <c r="D1" s="91"/>
      <c r="E1" s="545"/>
      <c r="F1" s="545"/>
      <c r="G1" s="209"/>
      <c r="H1" s="209"/>
      <c r="I1" s="209"/>
      <c r="J1" s="210"/>
    </row>
    <row r="2" spans="1:10" ht="18.75" customHeight="1" x14ac:dyDescent="0.3">
      <c r="A2" s="126"/>
      <c r="B2" s="67"/>
      <c r="C2" s="67"/>
      <c r="D2" s="51"/>
      <c r="E2" s="546"/>
      <c r="F2" s="546"/>
      <c r="G2" s="67"/>
      <c r="H2" s="67"/>
      <c r="I2" s="67"/>
      <c r="J2" s="211"/>
    </row>
    <row r="3" spans="1:10" s="93" customFormat="1" ht="18.75" customHeight="1" x14ac:dyDescent="0.3">
      <c r="A3" s="37" t="s">
        <v>124</v>
      </c>
      <c r="B3" s="32">
        <v>2010</v>
      </c>
      <c r="C3" s="32">
        <v>2013</v>
      </c>
      <c r="D3" s="547">
        <v>2014</v>
      </c>
      <c r="E3" s="547">
        <v>2015</v>
      </c>
      <c r="F3" s="547">
        <v>2016</v>
      </c>
      <c r="G3" s="547">
        <v>2017</v>
      </c>
      <c r="H3" s="966">
        <v>2018</v>
      </c>
      <c r="I3" s="1018">
        <v>2019</v>
      </c>
      <c r="J3" s="1019"/>
    </row>
    <row r="4" spans="1:10" s="93" customFormat="1" ht="16.5" x14ac:dyDescent="0.3">
      <c r="A4" s="131"/>
      <c r="B4" s="51"/>
      <c r="C4" s="51"/>
      <c r="D4" s="546"/>
      <c r="E4" s="546"/>
      <c r="F4" s="546"/>
      <c r="G4" s="67"/>
      <c r="H4" s="67"/>
      <c r="I4" s="67"/>
      <c r="J4" s="211"/>
    </row>
    <row r="5" spans="1:10" s="93" customFormat="1" ht="37.5" x14ac:dyDescent="0.45">
      <c r="A5" s="37"/>
      <c r="B5" s="682" t="s">
        <v>337</v>
      </c>
      <c r="C5" s="682" t="s">
        <v>337</v>
      </c>
      <c r="D5" s="683" t="s">
        <v>337</v>
      </c>
      <c r="E5" s="683" t="s">
        <v>337</v>
      </c>
      <c r="F5" s="683" t="s">
        <v>337</v>
      </c>
      <c r="G5" s="683" t="s">
        <v>337</v>
      </c>
      <c r="H5" s="683" t="s">
        <v>337</v>
      </c>
      <c r="I5" s="684" t="s">
        <v>204</v>
      </c>
      <c r="J5" s="685" t="s">
        <v>205</v>
      </c>
    </row>
    <row r="6" spans="1:10" s="93" customFormat="1" ht="18.75" customHeight="1" x14ac:dyDescent="0.3">
      <c r="A6" s="38"/>
      <c r="B6" s="42"/>
      <c r="C6" s="42"/>
      <c r="D6" s="686"/>
      <c r="E6" s="686"/>
      <c r="F6" s="687"/>
      <c r="G6" s="688"/>
      <c r="H6" s="688"/>
      <c r="I6" s="688"/>
      <c r="J6" s="689"/>
    </row>
    <row r="7" spans="1:10" s="93" customFormat="1" ht="18.75" customHeight="1" x14ac:dyDescent="0.3">
      <c r="A7" s="39"/>
      <c r="B7" s="42"/>
      <c r="C7" s="42"/>
      <c r="D7" s="686"/>
      <c r="E7" s="686"/>
      <c r="F7" s="687"/>
      <c r="G7" s="688"/>
      <c r="H7" s="688"/>
      <c r="I7" s="688"/>
      <c r="J7" s="689"/>
    </row>
    <row r="8" spans="1:10" s="93" customFormat="1" ht="18.75" hidden="1" customHeight="1" x14ac:dyDescent="0.3">
      <c r="A8" s="38" t="s">
        <v>73</v>
      </c>
      <c r="B8" s="42">
        <v>90983.05</v>
      </c>
      <c r="C8" s="686">
        <f>75858.38+15124.67</f>
        <v>90983.05</v>
      </c>
      <c r="D8" s="686">
        <v>90982</v>
      </c>
      <c r="E8" s="686">
        <v>90982</v>
      </c>
      <c r="F8" s="687">
        <f>86940+4043</f>
        <v>90983</v>
      </c>
      <c r="G8" s="690"/>
      <c r="H8" s="690"/>
      <c r="I8" s="690"/>
      <c r="J8" s="691"/>
    </row>
    <row r="9" spans="1:10" s="93" customFormat="1" ht="18.75" hidden="1" customHeight="1" x14ac:dyDescent="0.3">
      <c r="A9" s="69" t="s">
        <v>283</v>
      </c>
      <c r="B9" s="62">
        <v>40462.18</v>
      </c>
      <c r="C9" s="692">
        <f>24672.6+15244.87</f>
        <v>39917.47</v>
      </c>
      <c r="D9" s="62">
        <v>39917</v>
      </c>
      <c r="E9" s="62">
        <f>26307+13610</f>
        <v>39917</v>
      </c>
      <c r="F9" s="693">
        <f>27130+12787</f>
        <v>39917</v>
      </c>
      <c r="G9" s="694"/>
      <c r="H9" s="694"/>
      <c r="I9" s="694"/>
      <c r="J9" s="695"/>
    </row>
    <row r="10" spans="1:10" ht="18.75" hidden="1" customHeight="1" x14ac:dyDescent="0.3">
      <c r="A10" s="38" t="s">
        <v>565</v>
      </c>
      <c r="B10" s="62"/>
      <c r="C10" s="692">
        <f>3979.9+340.1</f>
        <v>4320</v>
      </c>
      <c r="D10" s="692">
        <v>2521</v>
      </c>
      <c r="E10" s="1024" t="s">
        <v>496</v>
      </c>
      <c r="F10" s="696"/>
      <c r="G10" s="696"/>
      <c r="H10" s="969" t="s">
        <v>496</v>
      </c>
      <c r="I10" s="1020" t="s">
        <v>496</v>
      </c>
      <c r="J10" s="1021"/>
    </row>
    <row r="11" spans="1:10" ht="18.75" hidden="1" customHeight="1" x14ac:dyDescent="0.3">
      <c r="A11" s="38"/>
      <c r="B11" s="62"/>
      <c r="C11" s="692"/>
      <c r="D11" s="62"/>
      <c r="E11" s="1025"/>
      <c r="F11" s="697"/>
      <c r="G11" s="698"/>
      <c r="H11" s="698"/>
      <c r="I11" s="698"/>
      <c r="J11" s="699"/>
    </row>
    <row r="12" spans="1:10" ht="18.75" customHeight="1" x14ac:dyDescent="0.3">
      <c r="A12" s="38" t="s">
        <v>566</v>
      </c>
      <c r="B12" s="62"/>
      <c r="C12" s="692"/>
      <c r="D12" s="700">
        <f>(110000*2)+70000</f>
        <v>290000</v>
      </c>
      <c r="E12" s="700"/>
      <c r="F12" s="701">
        <v>775000</v>
      </c>
      <c r="G12" s="698">
        <v>695000</v>
      </c>
      <c r="H12" s="698">
        <v>0</v>
      </c>
      <c r="I12" s="698"/>
      <c r="J12" s="699"/>
    </row>
    <row r="13" spans="1:10" ht="18.75" customHeight="1" thickBot="1" x14ac:dyDescent="0.35">
      <c r="A13" s="702"/>
      <c r="B13" s="703">
        <v>1800</v>
      </c>
      <c r="C13" s="704"/>
      <c r="D13" s="704"/>
      <c r="E13" s="704"/>
      <c r="F13" s="705"/>
      <c r="G13" s="706"/>
      <c r="H13" s="706"/>
      <c r="I13" s="706"/>
      <c r="J13" s="707"/>
    </row>
    <row r="14" spans="1:10" s="93" customFormat="1" ht="17.25" thickTop="1" x14ac:dyDescent="0.3">
      <c r="A14" s="88" t="s">
        <v>122</v>
      </c>
      <c r="B14" s="89">
        <f t="shared" ref="B14" si="0">SUM(B6:B13)</f>
        <v>133245.23000000001</v>
      </c>
      <c r="C14" s="89">
        <f>SUM(C6:C13)</f>
        <v>135220.52000000002</v>
      </c>
      <c r="D14" s="89">
        <f>SUM(D6:D13)</f>
        <v>423420</v>
      </c>
      <c r="E14" s="708">
        <f>SUM(E6:E13)</f>
        <v>130899</v>
      </c>
      <c r="F14" s="709">
        <f>SUM(F8:F12)</f>
        <v>905900</v>
      </c>
      <c r="G14" s="710">
        <f>SUM(G6:G13)</f>
        <v>695000</v>
      </c>
      <c r="H14" s="710">
        <f>SUM(H6:H13)</f>
        <v>0</v>
      </c>
      <c r="I14" s="710">
        <f>SUM(I6:I13)</f>
        <v>0</v>
      </c>
      <c r="J14" s="711">
        <f>SUM(J6:J13)</f>
        <v>0</v>
      </c>
    </row>
    <row r="15" spans="1:10" ht="32.25" customHeight="1" x14ac:dyDescent="0.3">
      <c r="A15" s="97"/>
      <c r="F15" s="681"/>
      <c r="G15" s="681"/>
      <c r="H15" s="967"/>
      <c r="I15" s="1022" t="s">
        <v>392</v>
      </c>
      <c r="J15" s="1022"/>
    </row>
    <row r="16" spans="1:10" ht="18.75" customHeight="1" x14ac:dyDescent="0.25">
      <c r="F16" s="681"/>
      <c r="G16" s="681"/>
      <c r="H16" s="968"/>
      <c r="I16" s="1023">
        <f>I14+J14</f>
        <v>0</v>
      </c>
      <c r="J16" s="1023"/>
    </row>
    <row r="17" spans="1:1" ht="18.75" hidden="1" customHeight="1" x14ac:dyDescent="0.25">
      <c r="A17" s="90" t="s">
        <v>660</v>
      </c>
    </row>
    <row r="18" spans="1:1" ht="18.75" hidden="1" customHeight="1" x14ac:dyDescent="0.25">
      <c r="A18" s="90" t="s">
        <v>661</v>
      </c>
    </row>
    <row r="19" spans="1:1" ht="18.75" hidden="1" customHeight="1" x14ac:dyDescent="0.25">
      <c r="A19" s="95" t="s">
        <v>618</v>
      </c>
    </row>
  </sheetData>
  <sortState ref="A14:H15">
    <sortCondition descending="1" ref="A14:A15"/>
  </sortState>
  <mergeCells count="5">
    <mergeCell ref="I3:J3"/>
    <mergeCell ref="I10:J10"/>
    <mergeCell ref="I15:J15"/>
    <mergeCell ref="I16:J16"/>
    <mergeCell ref="E10:E11"/>
  </mergeCells>
  <phoneticPr fontId="20" type="noConversion"/>
  <printOptions horizontalCentered="1"/>
  <pageMargins left="0.75" right="0.5" top="1" bottom="1" header="0.75" footer="0.5"/>
  <pageSetup scale="99" orientation="portrait" r:id="rId1"/>
  <headerFooter alignWithMargins="0">
    <oddHeader xml:space="preserve">&amp;R
</oddHeader>
    <oddFooter>&amp;L&amp;F, 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3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3"/>
  <cols>
    <col min="1" max="1" width="27.28515625" style="97" customWidth="1"/>
    <col min="2" max="6" width="12.28515625" style="27" hidden="1" customWidth="1"/>
    <col min="7" max="8" width="12.28515625" style="27" customWidth="1"/>
    <col min="9" max="16384" width="9.140625" style="27"/>
  </cols>
  <sheetData>
    <row r="1" spans="1:9" s="46" customFormat="1" ht="18" customHeight="1" x14ac:dyDescent="0.3">
      <c r="A1" s="571" t="s">
        <v>526</v>
      </c>
      <c r="B1" s="190"/>
      <c r="C1" s="190"/>
      <c r="D1" s="190"/>
      <c r="E1" s="190"/>
      <c r="F1" s="190"/>
      <c r="G1" s="190"/>
      <c r="H1" s="190"/>
      <c r="I1" s="190"/>
    </row>
    <row r="2" spans="1:9" ht="18" customHeight="1" x14ac:dyDescent="0.3">
      <c r="A2" s="126"/>
      <c r="B2" s="98"/>
      <c r="C2" s="98"/>
      <c r="D2" s="98"/>
      <c r="E2" s="98"/>
      <c r="F2" s="98"/>
      <c r="G2" s="98"/>
      <c r="H2" s="98"/>
      <c r="I2" s="98"/>
    </row>
    <row r="3" spans="1:9" s="46" customFormat="1" ht="18" customHeight="1" x14ac:dyDescent="0.3">
      <c r="A3" s="37" t="s">
        <v>124</v>
      </c>
      <c r="B3" s="41">
        <v>2010</v>
      </c>
      <c r="C3" s="41">
        <v>2013</v>
      </c>
      <c r="D3" s="41">
        <v>2014</v>
      </c>
      <c r="E3" s="41">
        <v>2015</v>
      </c>
      <c r="F3" s="41">
        <v>2016</v>
      </c>
      <c r="G3" s="41">
        <v>2017</v>
      </c>
      <c r="H3" s="41">
        <v>2018</v>
      </c>
      <c r="I3" s="41">
        <v>2019</v>
      </c>
    </row>
    <row r="4" spans="1:9" s="123" customFormat="1" ht="18" customHeight="1" x14ac:dyDescent="0.3">
      <c r="A4" s="131"/>
      <c r="B4" s="101"/>
      <c r="C4" s="101"/>
      <c r="D4" s="101"/>
      <c r="E4" s="101"/>
      <c r="F4" s="712"/>
      <c r="G4" s="712"/>
      <c r="H4" s="712"/>
      <c r="I4" s="712"/>
    </row>
    <row r="5" spans="1:9" s="46" customFormat="1" ht="18" customHeight="1" x14ac:dyDescent="0.3">
      <c r="A5" s="37"/>
      <c r="B5" s="41"/>
      <c r="C5" s="41"/>
      <c r="D5" s="41"/>
      <c r="E5" s="41"/>
      <c r="F5" s="713"/>
      <c r="G5" s="713"/>
      <c r="H5" s="713"/>
      <c r="I5" s="713"/>
    </row>
    <row r="6" spans="1:9" ht="18" customHeight="1" x14ac:dyDescent="0.3">
      <c r="A6" s="39" t="s">
        <v>215</v>
      </c>
      <c r="B6" s="42">
        <v>4500</v>
      </c>
      <c r="C6" s="42">
        <v>3200</v>
      </c>
      <c r="D6" s="42">
        <v>3200</v>
      </c>
      <c r="E6" s="42">
        <f>100*12</f>
        <v>1200</v>
      </c>
      <c r="F6" s="676">
        <f>105*12</f>
        <v>1260</v>
      </c>
      <c r="G6" s="676">
        <f>105*12</f>
        <v>1260</v>
      </c>
      <c r="H6" s="676">
        <f>10*12*9</f>
        <v>1080</v>
      </c>
      <c r="I6" s="676">
        <f>(12*1*8.5)+(12*3*4)</f>
        <v>246</v>
      </c>
    </row>
    <row r="7" spans="1:9" ht="18" customHeight="1" x14ac:dyDescent="0.3">
      <c r="A7" s="906" t="s">
        <v>663</v>
      </c>
      <c r="B7" s="42"/>
      <c r="C7" s="42"/>
      <c r="D7" s="42"/>
      <c r="E7" s="42"/>
      <c r="F7" s="676"/>
      <c r="G7" s="675"/>
      <c r="H7" s="675">
        <f>13*50</f>
        <v>650</v>
      </c>
      <c r="I7" s="675">
        <f>50*12</f>
        <v>600</v>
      </c>
    </row>
    <row r="8" spans="1:9" ht="18" customHeight="1" x14ac:dyDescent="0.3">
      <c r="A8" s="445"/>
      <c r="B8" s="403"/>
      <c r="C8" s="403"/>
      <c r="D8" s="403"/>
      <c r="E8" s="403"/>
      <c r="F8" s="714"/>
      <c r="G8" s="715"/>
      <c r="H8" s="715"/>
      <c r="I8" s="715"/>
    </row>
    <row r="9" spans="1:9" ht="18" customHeight="1" x14ac:dyDescent="0.3">
      <c r="A9" s="445"/>
      <c r="B9" s="403"/>
      <c r="C9" s="403"/>
      <c r="D9" s="403"/>
      <c r="E9" s="403"/>
      <c r="F9" s="714"/>
      <c r="G9" s="715"/>
      <c r="H9" s="715"/>
      <c r="I9" s="715"/>
    </row>
    <row r="10" spans="1:9" ht="18" customHeight="1" thickBot="1" x14ac:dyDescent="0.35">
      <c r="A10" s="445"/>
      <c r="B10" s="403">
        <v>-556.55999999999995</v>
      </c>
      <c r="C10" s="403"/>
      <c r="D10" s="403"/>
      <c r="E10" s="403"/>
      <c r="F10" s="714"/>
      <c r="G10" s="715"/>
      <c r="H10" s="715"/>
      <c r="I10" s="715"/>
    </row>
    <row r="11" spans="1:9" ht="18" customHeight="1" thickTop="1" x14ac:dyDescent="0.3">
      <c r="A11" s="88" t="s">
        <v>122</v>
      </c>
      <c r="B11" s="44">
        <f>SUM(B4:B10)</f>
        <v>3943.44</v>
      </c>
      <c r="C11" s="44">
        <f t="shared" ref="C11:E11" si="0">SUM(C4:C10)</f>
        <v>3200</v>
      </c>
      <c r="D11" s="44">
        <f t="shared" si="0"/>
        <v>3200</v>
      </c>
      <c r="E11" s="44">
        <f t="shared" si="0"/>
        <v>1200</v>
      </c>
      <c r="F11" s="679">
        <f t="shared" ref="F11:H11" si="1">SUM(F4:F10)</f>
        <v>1260</v>
      </c>
      <c r="G11" s="680">
        <f t="shared" ref="G11" si="2">SUM(G4:G10)</f>
        <v>1260</v>
      </c>
      <c r="H11" s="680">
        <f t="shared" si="1"/>
        <v>1730</v>
      </c>
      <c r="I11" s="680">
        <f t="shared" ref="I11" si="3">SUM(I4:I10)</f>
        <v>846</v>
      </c>
    </row>
    <row r="12" spans="1:9" ht="18.75" customHeight="1" x14ac:dyDescent="0.3">
      <c r="B12" s="129"/>
    </row>
    <row r="13" spans="1:9" ht="18.75" customHeight="1" x14ac:dyDescent="0.3">
      <c r="A13" s="17"/>
    </row>
  </sheetData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3"/>
  <sheetViews>
    <sheetView workbookViewId="0">
      <pane ySplit="3" topLeftCell="A4" activePane="bottomLeft" state="frozen"/>
      <selection pane="bottomLeft"/>
    </sheetView>
  </sheetViews>
  <sheetFormatPr defaultRowHeight="18.75" customHeight="1" x14ac:dyDescent="0.3"/>
  <cols>
    <col min="1" max="1" width="42.85546875" style="97" bestFit="1" customWidth="1"/>
    <col min="2" max="6" width="12.28515625" style="27" hidden="1" customWidth="1"/>
    <col min="7" max="8" width="12.28515625" style="27" customWidth="1"/>
    <col min="9" max="9" width="9.5703125" style="27" bestFit="1" customWidth="1"/>
    <col min="10" max="16384" width="9.140625" style="27"/>
  </cols>
  <sheetData>
    <row r="1" spans="1:9" s="46" customFormat="1" ht="18.75" customHeight="1" x14ac:dyDescent="0.3">
      <c r="A1" s="571" t="s">
        <v>525</v>
      </c>
      <c r="B1" s="190"/>
      <c r="C1" s="190"/>
      <c r="D1" s="190"/>
      <c r="E1" s="190"/>
      <c r="F1" s="190"/>
      <c r="G1" s="190"/>
      <c r="H1" s="190"/>
      <c r="I1" s="190"/>
    </row>
    <row r="2" spans="1:9" ht="11.25" customHeight="1" x14ac:dyDescent="0.3">
      <c r="A2" s="126"/>
      <c r="B2" s="98"/>
      <c r="C2" s="98"/>
      <c r="D2" s="98"/>
      <c r="E2" s="98"/>
      <c r="F2" s="98"/>
      <c r="G2" s="98"/>
      <c r="H2" s="98"/>
      <c r="I2" s="98"/>
    </row>
    <row r="3" spans="1:9" s="46" customFormat="1" ht="18.75" customHeight="1" x14ac:dyDescent="0.3">
      <c r="A3" s="37" t="s">
        <v>124</v>
      </c>
      <c r="B3" s="41">
        <v>2010</v>
      </c>
      <c r="C3" s="41">
        <v>2013</v>
      </c>
      <c r="D3" s="41">
        <v>2014</v>
      </c>
      <c r="E3" s="41">
        <v>2015</v>
      </c>
      <c r="F3" s="41">
        <v>2016</v>
      </c>
      <c r="G3" s="41">
        <v>2017</v>
      </c>
      <c r="H3" s="41">
        <v>2018</v>
      </c>
      <c r="I3" s="41">
        <v>2019</v>
      </c>
    </row>
    <row r="4" spans="1:9" s="123" customFormat="1" ht="18.75" customHeight="1" x14ac:dyDescent="0.3">
      <c r="A4" s="208"/>
      <c r="B4" s="117"/>
      <c r="C4" s="117"/>
      <c r="D4" s="117"/>
      <c r="E4" s="117"/>
      <c r="F4" s="716"/>
      <c r="G4" s="716"/>
      <c r="H4" s="716"/>
      <c r="I4" s="716"/>
    </row>
    <row r="5" spans="1:9" s="123" customFormat="1" ht="16.5" x14ac:dyDescent="0.3">
      <c r="A5" s="39" t="s">
        <v>76</v>
      </c>
      <c r="B5" s="42">
        <v>1000</v>
      </c>
      <c r="C5" s="42">
        <v>1500</v>
      </c>
      <c r="D5" s="42">
        <v>1500</v>
      </c>
      <c r="E5" s="42">
        <v>2000</v>
      </c>
      <c r="F5" s="676">
        <v>2000</v>
      </c>
      <c r="G5" s="676">
        <v>3000</v>
      </c>
      <c r="H5" s="676">
        <v>3000</v>
      </c>
      <c r="I5" s="676">
        <v>3000</v>
      </c>
    </row>
    <row r="6" spans="1:9" s="123" customFormat="1" ht="19.5" customHeight="1" x14ac:dyDescent="0.3">
      <c r="A6" s="874" t="s">
        <v>716</v>
      </c>
      <c r="B6" s="42">
        <v>13400</v>
      </c>
      <c r="C6" s="42">
        <v>13672.8</v>
      </c>
      <c r="D6" s="42">
        <f>45*25.32*12</f>
        <v>13672.800000000001</v>
      </c>
      <c r="E6" s="42">
        <f>47*25.32*12</f>
        <v>14280.48</v>
      </c>
      <c r="F6" s="675">
        <f>55*25.32*12</f>
        <v>16711.199999999997</v>
      </c>
      <c r="G6" s="675">
        <f>75*23.37*12</f>
        <v>21033</v>
      </c>
      <c r="H6" s="675">
        <f>85*28.08*12</f>
        <v>28641.599999999999</v>
      </c>
      <c r="I6" s="675">
        <f>90*25.51*12</f>
        <v>27550.800000000003</v>
      </c>
    </row>
    <row r="7" spans="1:9" s="123" customFormat="1" ht="18.75" customHeight="1" x14ac:dyDescent="0.3">
      <c r="A7" s="39" t="s">
        <v>77</v>
      </c>
      <c r="B7" s="42">
        <v>10500</v>
      </c>
      <c r="C7" s="42">
        <v>13200</v>
      </c>
      <c r="D7" s="42">
        <f>24*600</f>
        <v>14400</v>
      </c>
      <c r="E7" s="42">
        <f>24*700</f>
        <v>16800</v>
      </c>
      <c r="F7" s="675">
        <f>24*700</f>
        <v>16800</v>
      </c>
      <c r="G7" s="675">
        <f>26.4*750</f>
        <v>19800</v>
      </c>
      <c r="H7" s="675">
        <f>26.4*775</f>
        <v>20460</v>
      </c>
      <c r="I7" s="675">
        <f>26.4*775</f>
        <v>20460</v>
      </c>
    </row>
    <row r="8" spans="1:9" s="123" customFormat="1" ht="18.75" customHeight="1" x14ac:dyDescent="0.3">
      <c r="A8" s="39" t="s">
        <v>77</v>
      </c>
      <c r="B8" s="42">
        <v>10500</v>
      </c>
      <c r="C8" s="42">
        <v>13200</v>
      </c>
      <c r="D8" s="42">
        <f>24*600</f>
        <v>14400</v>
      </c>
      <c r="E8" s="42">
        <f>24*700</f>
        <v>16800</v>
      </c>
      <c r="F8" s="675">
        <f>24*700</f>
        <v>16800</v>
      </c>
      <c r="G8" s="675">
        <f>26.4*750</f>
        <v>19800</v>
      </c>
      <c r="H8" s="675">
        <f>26.4*775</f>
        <v>20460</v>
      </c>
      <c r="I8" s="675">
        <f>26.4*775</f>
        <v>20460</v>
      </c>
    </row>
    <row r="9" spans="1:9" s="123" customFormat="1" ht="18.75" customHeight="1" x14ac:dyDescent="0.3">
      <c r="A9" s="39" t="s">
        <v>108</v>
      </c>
      <c r="B9" s="62">
        <v>4200</v>
      </c>
      <c r="C9" s="62">
        <v>4800</v>
      </c>
      <c r="D9" s="62">
        <f>50*11*12</f>
        <v>6600</v>
      </c>
      <c r="E9" s="197">
        <f>50*12*12</f>
        <v>7200</v>
      </c>
      <c r="F9" s="666">
        <f>55*12*12</f>
        <v>7920</v>
      </c>
      <c r="G9" s="666">
        <f>55*12*12</f>
        <v>7920</v>
      </c>
      <c r="H9" s="666">
        <f>40*13*12</f>
        <v>6240</v>
      </c>
      <c r="I9" s="666">
        <f>40*14*12</f>
        <v>6720</v>
      </c>
    </row>
    <row r="10" spans="1:9" s="123" customFormat="1" ht="18.75" customHeight="1" x14ac:dyDescent="0.3">
      <c r="A10" s="39" t="s">
        <v>78</v>
      </c>
      <c r="B10" s="62">
        <v>1200</v>
      </c>
      <c r="C10" s="62">
        <v>2200</v>
      </c>
      <c r="D10" s="62">
        <f>11*400</f>
        <v>4400</v>
      </c>
      <c r="E10" s="197">
        <f>12*400</f>
        <v>4800</v>
      </c>
      <c r="F10" s="666">
        <f>400*12</f>
        <v>4800</v>
      </c>
      <c r="G10" s="666">
        <f>500*12</f>
        <v>6000</v>
      </c>
      <c r="H10" s="666">
        <f>500*13</f>
        <v>6500</v>
      </c>
      <c r="I10" s="666">
        <f>500*14</f>
        <v>7000</v>
      </c>
    </row>
    <row r="11" spans="1:9" s="123" customFormat="1" ht="18.75" customHeight="1" x14ac:dyDescent="0.3">
      <c r="A11" s="47" t="s">
        <v>643</v>
      </c>
      <c r="B11" s="107">
        <v>3000</v>
      </c>
      <c r="C11" s="107">
        <v>0</v>
      </c>
      <c r="D11" s="107">
        <v>0</v>
      </c>
      <c r="E11" s="838">
        <v>7000</v>
      </c>
      <c r="F11" s="839">
        <f>7200*7</f>
        <v>50400</v>
      </c>
      <c r="G11" s="839">
        <f>8500*9</f>
        <v>76500</v>
      </c>
      <c r="H11" s="839">
        <f>8500*5</f>
        <v>42500</v>
      </c>
      <c r="I11" s="839">
        <v>0</v>
      </c>
    </row>
    <row r="12" spans="1:9" s="46" customFormat="1" ht="18.75" hidden="1" customHeight="1" x14ac:dyDescent="0.3">
      <c r="A12" s="47" t="s">
        <v>452</v>
      </c>
      <c r="B12" s="62">
        <v>10000</v>
      </c>
      <c r="C12" s="62">
        <v>2000</v>
      </c>
      <c r="D12" s="62">
        <v>4000</v>
      </c>
      <c r="E12" s="197">
        <v>5000</v>
      </c>
      <c r="F12" s="666"/>
      <c r="G12" s="666"/>
      <c r="H12" s="666"/>
      <c r="I12" s="666"/>
    </row>
    <row r="13" spans="1:9" s="46" customFormat="1" ht="18.75" customHeight="1" x14ac:dyDescent="0.3">
      <c r="A13" s="47" t="s">
        <v>413</v>
      </c>
      <c r="B13" s="62"/>
      <c r="C13" s="62">
        <v>1000</v>
      </c>
      <c r="D13" s="62">
        <v>1000</v>
      </c>
      <c r="E13" s="62">
        <f>600*2</f>
        <v>1200</v>
      </c>
      <c r="F13" s="666">
        <f>600*2</f>
        <v>1200</v>
      </c>
      <c r="G13" s="666">
        <f>800*2</f>
        <v>1600</v>
      </c>
      <c r="H13" s="666">
        <f>800*2</f>
        <v>1600</v>
      </c>
      <c r="I13" s="666">
        <f>800*2</f>
        <v>1600</v>
      </c>
    </row>
    <row r="14" spans="1:9" s="46" customFormat="1" ht="18.75" customHeight="1" x14ac:dyDescent="0.3">
      <c r="A14" s="47" t="s">
        <v>662</v>
      </c>
      <c r="B14" s="62"/>
      <c r="C14" s="62">
        <v>20000</v>
      </c>
      <c r="D14" s="62">
        <v>26000</v>
      </c>
      <c r="E14" s="62">
        <f>6000</f>
        <v>6000</v>
      </c>
      <c r="F14" s="665">
        <v>12000</v>
      </c>
      <c r="G14" s="665">
        <v>12000</v>
      </c>
      <c r="H14" s="665">
        <f>3500*2</f>
        <v>7000</v>
      </c>
      <c r="I14" s="665">
        <f>3000*4</f>
        <v>12000</v>
      </c>
    </row>
    <row r="15" spans="1:9" s="46" customFormat="1" ht="18.75" hidden="1" customHeight="1" x14ac:dyDescent="0.3">
      <c r="A15" s="47" t="s">
        <v>575</v>
      </c>
      <c r="B15" s="62"/>
      <c r="C15" s="62"/>
      <c r="D15" s="62"/>
      <c r="E15" s="62"/>
      <c r="F15" s="665">
        <f>23*400</f>
        <v>9200</v>
      </c>
      <c r="G15" s="666"/>
      <c r="H15" s="666"/>
      <c r="I15" s="666"/>
    </row>
    <row r="16" spans="1:9" s="46" customFormat="1" ht="18.75" customHeight="1" x14ac:dyDescent="0.3">
      <c r="A16" s="47" t="s">
        <v>669</v>
      </c>
      <c r="B16" s="62"/>
      <c r="C16" s="62"/>
      <c r="D16" s="62"/>
      <c r="E16" s="62"/>
      <c r="F16" s="665"/>
      <c r="G16" s="666">
        <f>6900*2</f>
        <v>13800</v>
      </c>
      <c r="H16" s="666">
        <f>8400*8</f>
        <v>67200</v>
      </c>
      <c r="I16" s="666">
        <v>0</v>
      </c>
    </row>
    <row r="17" spans="1:9" s="46" customFormat="1" ht="18.75" customHeight="1" thickBot="1" x14ac:dyDescent="0.35">
      <c r="A17" s="47"/>
      <c r="B17" s="62"/>
      <c r="C17" s="62"/>
      <c r="D17" s="62"/>
      <c r="E17" s="62"/>
      <c r="F17" s="665"/>
      <c r="G17" s="666"/>
      <c r="H17" s="666"/>
      <c r="I17" s="666"/>
    </row>
    <row r="18" spans="1:9" s="46" customFormat="1" ht="18.75" customHeight="1" thickTop="1" x14ac:dyDescent="0.3">
      <c r="A18" s="88" t="s">
        <v>122</v>
      </c>
      <c r="B18" s="89">
        <f t="shared" ref="B18:H18" si="0">SUM(B4:B17)</f>
        <v>53800</v>
      </c>
      <c r="C18" s="89">
        <f t="shared" si="0"/>
        <v>71572.800000000003</v>
      </c>
      <c r="D18" s="89">
        <f t="shared" si="0"/>
        <v>85972.800000000003</v>
      </c>
      <c r="E18" s="89">
        <f t="shared" si="0"/>
        <v>81080.479999999996</v>
      </c>
      <c r="F18" s="760">
        <f t="shared" si="0"/>
        <v>137831.20000000001</v>
      </c>
      <c r="G18" s="875">
        <f t="shared" ref="G18" si="1">SUM(G4:G17)</f>
        <v>181453</v>
      </c>
      <c r="H18" s="875">
        <f t="shared" si="0"/>
        <v>203601.6</v>
      </c>
      <c r="I18" s="875">
        <f t="shared" ref="I18" si="2">SUM(I4:I17)</f>
        <v>98790.8</v>
      </c>
    </row>
    <row r="19" spans="1:9" s="46" customFormat="1" ht="16.5" x14ac:dyDescent="0.3">
      <c r="A19" s="17"/>
    </row>
    <row r="20" spans="1:9" ht="12.95" customHeight="1" x14ac:dyDescent="0.3">
      <c r="A20" s="17"/>
    </row>
    <row r="21" spans="1:9" ht="12.95" hidden="1" customHeight="1" x14ac:dyDescent="0.3">
      <c r="A21" s="982" t="s">
        <v>648</v>
      </c>
    </row>
    <row r="22" spans="1:9" ht="12.95" customHeight="1" x14ac:dyDescent="0.3">
      <c r="A22" s="17"/>
    </row>
    <row r="23" spans="1:9" ht="12.95" customHeight="1" x14ac:dyDescent="0.3">
      <c r="A23" s="17"/>
    </row>
    <row r="24" spans="1:9" s="46" customFormat="1" ht="12.95" customHeight="1" x14ac:dyDescent="0.3">
      <c r="A24" s="17"/>
    </row>
    <row r="25" spans="1:9" ht="12.95" customHeight="1" x14ac:dyDescent="0.3">
      <c r="A25" s="17"/>
    </row>
    <row r="26" spans="1:9" ht="12.95" customHeight="1" x14ac:dyDescent="0.3">
      <c r="A26" s="17"/>
    </row>
    <row r="27" spans="1:9" ht="12.95" customHeight="1" x14ac:dyDescent="0.3">
      <c r="A27" s="17"/>
    </row>
    <row r="28" spans="1:9" ht="12.95" customHeight="1" x14ac:dyDescent="0.3">
      <c r="A28" s="27"/>
    </row>
    <row r="29" spans="1:9" ht="12.95" customHeight="1" x14ac:dyDescent="0.3">
      <c r="A29" s="27"/>
      <c r="B29" s="40"/>
    </row>
    <row r="30" spans="1:9" ht="12.95" customHeight="1" x14ac:dyDescent="0.3">
      <c r="A30" s="27"/>
      <c r="B30" s="40"/>
    </row>
    <row r="31" spans="1:9" ht="12.95" customHeight="1" x14ac:dyDescent="0.3">
      <c r="A31" s="27"/>
      <c r="B31" s="40"/>
    </row>
    <row r="32" spans="1:9" ht="18.75" customHeight="1" x14ac:dyDescent="0.3">
      <c r="A32" s="17"/>
    </row>
    <row r="33" spans="1:1" ht="18.75" customHeight="1" x14ac:dyDescent="0.3">
      <c r="A33" s="17"/>
    </row>
  </sheetData>
  <phoneticPr fontId="20" type="noConversion"/>
  <printOptions horizontalCentered="1"/>
  <pageMargins left="0.7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9"/>
  <sheetViews>
    <sheetView workbookViewId="0"/>
  </sheetViews>
  <sheetFormatPr defaultRowHeight="16.5" x14ac:dyDescent="0.3"/>
  <cols>
    <col min="1" max="1" width="28.85546875" style="111" customWidth="1"/>
    <col min="2" max="4" width="11.7109375" style="111" hidden="1" customWidth="1"/>
    <col min="5" max="6" width="12" style="111" hidden="1" customWidth="1"/>
    <col min="7" max="8" width="12" style="111" customWidth="1"/>
    <col min="9" max="16384" width="9.140625" style="111"/>
  </cols>
  <sheetData>
    <row r="1" spans="1:9" ht="22.5" customHeight="1" x14ac:dyDescent="0.3">
      <c r="A1" s="571" t="s">
        <v>524</v>
      </c>
      <c r="B1" s="190"/>
      <c r="C1" s="190"/>
      <c r="D1" s="190"/>
      <c r="E1" s="206"/>
      <c r="F1" s="206"/>
      <c r="G1" s="206"/>
      <c r="H1" s="206"/>
      <c r="I1" s="206"/>
    </row>
    <row r="2" spans="1:9" x14ac:dyDescent="0.3">
      <c r="A2" s="126"/>
      <c r="B2" s="98"/>
      <c r="C2" s="98"/>
      <c r="D2" s="98"/>
      <c r="E2" s="49"/>
      <c r="F2" s="49"/>
      <c r="G2" s="49"/>
      <c r="H2" s="49"/>
      <c r="I2" s="49"/>
    </row>
    <row r="3" spans="1:9" x14ac:dyDescent="0.3">
      <c r="A3" s="37" t="s">
        <v>124</v>
      </c>
      <c r="B3" s="41">
        <v>2010</v>
      </c>
      <c r="C3" s="99">
        <v>2013</v>
      </c>
      <c r="D3" s="99">
        <v>2014</v>
      </c>
      <c r="E3" s="99">
        <v>2015</v>
      </c>
      <c r="F3" s="99">
        <v>2016</v>
      </c>
      <c r="G3" s="99">
        <v>2017</v>
      </c>
      <c r="H3" s="99">
        <v>2018</v>
      </c>
      <c r="I3" s="99">
        <v>2019</v>
      </c>
    </row>
    <row r="4" spans="1:9" x14ac:dyDescent="0.3">
      <c r="A4" s="131"/>
      <c r="B4" s="101"/>
      <c r="C4" s="99"/>
      <c r="D4" s="99"/>
      <c r="E4" s="99"/>
      <c r="F4" s="719"/>
      <c r="G4" s="719"/>
      <c r="H4" s="719"/>
      <c r="I4" s="719"/>
    </row>
    <row r="5" spans="1:9" x14ac:dyDescent="0.3">
      <c r="A5" s="125"/>
      <c r="B5" s="98"/>
      <c r="C5" s="119"/>
      <c r="D5" s="119"/>
      <c r="E5" s="119"/>
      <c r="F5" s="720"/>
      <c r="G5" s="720"/>
      <c r="H5" s="720"/>
      <c r="I5" s="720"/>
    </row>
    <row r="6" spans="1:9" x14ac:dyDescent="0.3">
      <c r="A6" s="39" t="s">
        <v>153</v>
      </c>
      <c r="B6" s="42">
        <v>40000</v>
      </c>
      <c r="C6" s="49">
        <v>40000</v>
      </c>
      <c r="D6" s="551">
        <v>40000</v>
      </c>
      <c r="E6" s="551">
        <v>30000</v>
      </c>
      <c r="F6" s="721">
        <v>30000</v>
      </c>
      <c r="G6" s="721">
        <v>30000</v>
      </c>
      <c r="H6" s="721">
        <v>30000</v>
      </c>
      <c r="I6" s="721">
        <f>14500*2</f>
        <v>29000</v>
      </c>
    </row>
    <row r="7" spans="1:9" x14ac:dyDescent="0.3">
      <c r="A7" s="39"/>
      <c r="B7" s="42"/>
      <c r="C7" s="119"/>
      <c r="D7" s="119"/>
      <c r="E7" s="119"/>
      <c r="F7" s="720"/>
      <c r="G7" s="722"/>
      <c r="H7" s="722"/>
      <c r="I7" s="722"/>
    </row>
    <row r="8" spans="1:9" ht="17.25" thickBot="1" x14ac:dyDescent="0.35">
      <c r="A8" s="513"/>
      <c r="B8" s="283">
        <v>-8500</v>
      </c>
      <c r="C8" s="241"/>
      <c r="D8" s="241"/>
      <c r="E8" s="241"/>
      <c r="F8" s="723"/>
      <c r="G8" s="724"/>
      <c r="H8" s="724"/>
      <c r="I8" s="724"/>
    </row>
    <row r="9" spans="1:9" ht="17.25" thickTop="1" x14ac:dyDescent="0.3">
      <c r="A9" s="88" t="s">
        <v>122</v>
      </c>
      <c r="B9" s="44">
        <f t="shared" ref="B9:H9" si="0">SUM(B4:B8)</f>
        <v>31500</v>
      </c>
      <c r="C9" s="133">
        <f t="shared" si="0"/>
        <v>40000</v>
      </c>
      <c r="D9" s="133">
        <f t="shared" si="0"/>
        <v>40000</v>
      </c>
      <c r="E9" s="133">
        <f t="shared" si="0"/>
        <v>30000</v>
      </c>
      <c r="F9" s="725">
        <f t="shared" si="0"/>
        <v>30000</v>
      </c>
      <c r="G9" s="726">
        <f t="shared" ref="G9" si="1">SUM(G4:G8)</f>
        <v>30000</v>
      </c>
      <c r="H9" s="726">
        <f t="shared" si="0"/>
        <v>30000</v>
      </c>
      <c r="I9" s="726">
        <f t="shared" ref="I9" si="2">SUM(I4:I8)</f>
        <v>29000</v>
      </c>
    </row>
  </sheetData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51</vt:i4>
      </vt:variant>
      <vt:variant>
        <vt:lpstr>Named Ranges</vt:lpstr>
      </vt:variant>
      <vt:variant>
        <vt:i4>2</vt:i4>
      </vt:variant>
    </vt:vector>
  </HeadingPairs>
  <TitlesOfParts>
    <vt:vector size="53" baseType="lpstr">
      <vt:lpstr>CATEGORY PAGE</vt:lpstr>
      <vt:lpstr>REVENUE</vt:lpstr>
      <vt:lpstr>501 PROPERTY TAX FEES</vt:lpstr>
      <vt:lpstr>502 SALES TAX COLLECTION COSTS</vt:lpstr>
      <vt:lpstr>503 SUNSET VALLEY</vt:lpstr>
      <vt:lpstr>601 APPARATUS PMTS.</vt:lpstr>
      <vt:lpstr>602 ALPHA PAGERS</vt:lpstr>
      <vt:lpstr>603 DISPATCH &amp; COMM</vt:lpstr>
      <vt:lpstr>604 FUEL</vt:lpstr>
      <vt:lpstr>605 SCBA</vt:lpstr>
      <vt:lpstr>606 VEH MTN REP</vt:lpstr>
      <vt:lpstr>608 VEHICLE SUPPLIES</vt:lpstr>
      <vt:lpstr>609 UNIFORMS &amp; PROTECTIVE GEAR</vt:lpstr>
      <vt:lpstr>Uniform WS</vt:lpstr>
      <vt:lpstr>Gear WS</vt:lpstr>
      <vt:lpstr>611 EMS SUPPLIES</vt:lpstr>
      <vt:lpstr>612 REHAB SUPPLIES</vt:lpstr>
      <vt:lpstr>613 AUTO INSURANCE</vt:lpstr>
      <vt:lpstr>632 FIRE &amp; RESCUE TRAINING</vt:lpstr>
      <vt:lpstr>633 SEMINARS &amp; CONFERENCES</vt:lpstr>
      <vt:lpstr>634 FIRE ACADEMY</vt:lpstr>
      <vt:lpstr>635 EMT CERT COURSE</vt:lpstr>
      <vt:lpstr>636 VENDING MACHINES</vt:lpstr>
      <vt:lpstr>641 BENEFITS</vt:lpstr>
      <vt:lpstr>642 PAYROLL</vt:lpstr>
      <vt:lpstr>642 INDIV PAYROLL</vt:lpstr>
      <vt:lpstr>642 FF RATES</vt:lpstr>
      <vt:lpstr>642 LONGEVITY</vt:lpstr>
      <vt:lpstr>642 CERT PAY</vt:lpstr>
      <vt:lpstr>642 RESCUE &amp; INSTRUCTOR CERTS</vt:lpstr>
      <vt:lpstr>643 RECOGNITION</vt:lpstr>
      <vt:lpstr>644 CERTIFICATIONS</vt:lpstr>
      <vt:lpstr>645 RECRUITMENT</vt:lpstr>
      <vt:lpstr>651 BLDG GROUND MAINT</vt:lpstr>
      <vt:lpstr>652 OFFICE SUPPLIES</vt:lpstr>
      <vt:lpstr>653 STATION SUPPLIES</vt:lpstr>
      <vt:lpstr>654 BANK FEES</vt:lpstr>
      <vt:lpstr>655 DUES AND SUBSCRIPTIONS</vt:lpstr>
      <vt:lpstr>656 INFORMATION TECHNOLOGY</vt:lpstr>
      <vt:lpstr>657 POSTAGE</vt:lpstr>
      <vt:lpstr>658 PROP &amp; LIABILITY</vt:lpstr>
      <vt:lpstr>659 PROFESSIONAL SVCS</vt:lpstr>
      <vt:lpstr>660 PUBLIC NOTICES</vt:lpstr>
      <vt:lpstr>661 TELEPHONE</vt:lpstr>
      <vt:lpstr>662 UTILITIES</vt:lpstr>
      <vt:lpstr>663 BOND DEBT SVC</vt:lpstr>
      <vt:lpstr>664 TCESD COMPENSATION</vt:lpstr>
      <vt:lpstr>665 GRANT MATCHING</vt:lpstr>
      <vt:lpstr>666 CONTRACT SERVICES</vt:lpstr>
      <vt:lpstr>671 PREVENTION</vt:lpstr>
      <vt:lpstr>672 PUBLIC EDUCATION</vt:lpstr>
      <vt:lpstr>'642 LONGEVITY'!Print_Area</vt:lpstr>
      <vt:lpstr>'632 FIRE &amp; RESCUE TRAINING'!Print_Titles</vt:lpstr>
    </vt:vector>
  </TitlesOfParts>
  <Company>Travis County ESD #3 / OHFD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J. Wittig</dc:creator>
  <cp:lastModifiedBy>Jeffrey J. Wittig</cp:lastModifiedBy>
  <cp:lastPrinted>2018-09-06T19:11:27Z</cp:lastPrinted>
  <dcterms:created xsi:type="dcterms:W3CDTF">2002-06-05T21:07:58Z</dcterms:created>
  <dcterms:modified xsi:type="dcterms:W3CDTF">2018-10-03T16:07:05Z</dcterms:modified>
</cp:coreProperties>
</file>