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FY2018\"/>
    </mc:Choice>
  </mc:AlternateContent>
  <bookViews>
    <workbookView xWindow="-30" yWindow="-15" windowWidth="9030" windowHeight="11475" tabRatio="973" xr2:uid="{00000000-000D-0000-FFFF-FFFF00000000}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PAYROLL" sheetId="151" r:id="rId25"/>
    <sheet name="642 INDIV PAYROLL" sheetId="128" state="hidden" r:id="rId26"/>
    <sheet name="642 FF RATES" sheetId="131" r:id="rId27"/>
    <sheet name="642 LONGEVITY" sheetId="155" r:id="rId28"/>
    <sheet name="642 CERT PAY" sheetId="144" r:id="rId29"/>
    <sheet name="643 RECOGNITION" sheetId="133" r:id="rId30"/>
    <sheet name="644 CERTIFICATIONS" sheetId="132" r:id="rId31"/>
    <sheet name="645 RECRUITMENT" sheetId="136" r:id="rId32"/>
    <sheet name="651 BLDG GROUND MAINT" sheetId="74" r:id="rId33"/>
    <sheet name="652 OFFICE SUPPLIES" sheetId="77" r:id="rId34"/>
    <sheet name="653 STATION SUPPLIES" sheetId="75" r:id="rId35"/>
    <sheet name="654 BANK FEES" sheetId="80" r:id="rId36"/>
    <sheet name="655 DUES AND SUBSCRIPTIONS" sheetId="79" r:id="rId37"/>
    <sheet name="656 INFORMATION TECHNOLOGY" sheetId="88" r:id="rId38"/>
    <sheet name="657 POSTAGE" sheetId="86" r:id="rId39"/>
    <sheet name="658 PROP &amp; LIABILITY" sheetId="135" r:id="rId40"/>
    <sheet name="659 PROFESSIONAL SVCS" sheetId="85" r:id="rId41"/>
    <sheet name="660 PUBLIC NOTICES" sheetId="83" r:id="rId42"/>
    <sheet name="661 TELEPHONE" sheetId="15" r:id="rId43"/>
    <sheet name="662 UTILITIES" sheetId="16" r:id="rId44"/>
    <sheet name="663 BOND DEBT SVC" sheetId="90" r:id="rId45"/>
    <sheet name="664 TCESD COMPENSATION" sheetId="101" r:id="rId46"/>
    <sheet name="665 GRANT MATCHING" sheetId="137" r:id="rId47"/>
    <sheet name="666 CONTRACT SERVICES" sheetId="139" state="hidden" r:id="rId48"/>
    <sheet name="671 PREVENTION" sheetId="134" r:id="rId49"/>
    <sheet name="672 PUBLIC EDUCATION" sheetId="102" r:id="rId50"/>
  </sheets>
  <definedNames>
    <definedName name="_xlnm._FilterDatabase" localSheetId="21" hidden="1">'635 EMT CERT COURSE'!$A$6:$C$11</definedName>
    <definedName name="_xlnm.Print_Area" localSheetId="27">'642 LONGEVITY'!$A$1:$M$24</definedName>
    <definedName name="_xlnm.Print_Titles" localSheetId="18">'632 FIRE &amp; RESCUE TRAINING'!$1:$2</definedName>
  </definedNames>
  <calcPr calcId="171027"/>
</workbook>
</file>

<file path=xl/calcChain.xml><?xml version="1.0" encoding="utf-8"?>
<calcChain xmlns="http://schemas.openxmlformats.org/spreadsheetml/2006/main">
  <c r="H43" i="151" l="1"/>
  <c r="I43" i="151" l="1"/>
  <c r="H10" i="151" l="1"/>
  <c r="H29" i="151"/>
  <c r="H24" i="151"/>
  <c r="H23" i="151"/>
  <c r="H22" i="151"/>
  <c r="H21" i="151"/>
  <c r="H20" i="151"/>
  <c r="H19" i="151"/>
  <c r="H15" i="151"/>
  <c r="H14" i="151"/>
  <c r="H13" i="151"/>
  <c r="B33" i="151"/>
  <c r="H7" i="151"/>
  <c r="H6" i="151"/>
  <c r="H5" i="151"/>
  <c r="H3" i="151"/>
  <c r="H2" i="151"/>
  <c r="D16" i="131" l="1"/>
  <c r="M3" i="155"/>
  <c r="I4" i="141" l="1"/>
  <c r="H5" i="120"/>
  <c r="H5" i="15" l="1"/>
  <c r="H21" i="88"/>
  <c r="H22" i="88"/>
  <c r="H18" i="79"/>
  <c r="H16" i="79"/>
  <c r="H5" i="79"/>
  <c r="H23" i="116"/>
  <c r="H11" i="65"/>
  <c r="H10" i="65"/>
  <c r="H9" i="65"/>
  <c r="H6" i="65"/>
  <c r="H6" i="64"/>
  <c r="H9" i="90" l="1"/>
  <c r="B47" i="151" l="1"/>
  <c r="J33" i="151"/>
  <c r="I30" i="151" l="1"/>
  <c r="I29" i="151"/>
  <c r="I28" i="151"/>
  <c r="I27" i="151"/>
  <c r="H9" i="151"/>
  <c r="M42" i="151"/>
  <c r="C42" i="151" s="1"/>
  <c r="E42" i="151" s="1"/>
  <c r="M41" i="151"/>
  <c r="M40" i="151"/>
  <c r="M36" i="151"/>
  <c r="K36" i="151" s="1"/>
  <c r="M20" i="151"/>
  <c r="C32" i="151" s="1"/>
  <c r="M18" i="151"/>
  <c r="M13" i="151"/>
  <c r="M9" i="151"/>
  <c r="M6" i="151"/>
  <c r="H14" i="16"/>
  <c r="H8" i="15"/>
  <c r="H15" i="135"/>
  <c r="H23" i="88"/>
  <c r="H11" i="88"/>
  <c r="H9" i="88"/>
  <c r="G6" i="153"/>
  <c r="H19" i="116"/>
  <c r="H17" i="116"/>
  <c r="H12" i="116"/>
  <c r="H10" i="116"/>
  <c r="H5" i="116"/>
  <c r="D7" i="117"/>
  <c r="H22" i="67"/>
  <c r="H18" i="67"/>
  <c r="H16" i="67"/>
  <c r="H16" i="65"/>
  <c r="C29" i="151" l="1"/>
  <c r="E29" i="151" s="1"/>
  <c r="C27" i="151"/>
  <c r="E27" i="151" s="1"/>
  <c r="C30" i="151"/>
  <c r="E30" i="151" s="1"/>
  <c r="C28" i="151"/>
  <c r="E28" i="151" s="1"/>
  <c r="M43" i="151"/>
  <c r="C43" i="151" s="1"/>
  <c r="E43" i="151" s="1"/>
  <c r="G43" i="151" s="1"/>
  <c r="F32" i="151"/>
  <c r="F30" i="151"/>
  <c r="H31" i="69"/>
  <c r="H20" i="116"/>
  <c r="I7" i="141"/>
  <c r="F28" i="151" l="1"/>
  <c r="F27" i="151"/>
  <c r="K43" i="151"/>
  <c r="F29" i="151"/>
  <c r="G29" i="151" s="1"/>
  <c r="K29" i="151" s="1"/>
  <c r="E32" i="151"/>
  <c r="G32" i="151" s="1"/>
  <c r="K32" i="151" s="1"/>
  <c r="G27" i="151"/>
  <c r="K27" i="151" s="1"/>
  <c r="G28" i="151"/>
  <c r="K28" i="151" s="1"/>
  <c r="G30" i="151"/>
  <c r="K30" i="151" s="1"/>
  <c r="H20" i="126" l="1"/>
  <c r="H6" i="102" l="1"/>
  <c r="H6" i="101"/>
  <c r="H8" i="88"/>
  <c r="H6" i="88"/>
  <c r="H14" i="74"/>
  <c r="H9" i="126"/>
  <c r="H6" i="126"/>
  <c r="H21" i="67"/>
  <c r="H7" i="64"/>
  <c r="H14" i="65"/>
  <c r="H8" i="65"/>
  <c r="H7" i="65"/>
  <c r="G6" i="102" l="1"/>
  <c r="G15" i="102" s="1"/>
  <c r="G17" i="134"/>
  <c r="G13" i="137"/>
  <c r="G6" i="101"/>
  <c r="G11" i="101" s="1"/>
  <c r="G15" i="90"/>
  <c r="G14" i="16"/>
  <c r="G13" i="16"/>
  <c r="G12" i="16"/>
  <c r="G11" i="16"/>
  <c r="G10" i="16"/>
  <c r="G9" i="16"/>
  <c r="G8" i="16"/>
  <c r="G7" i="16"/>
  <c r="G6" i="16"/>
  <c r="G5" i="16"/>
  <c r="G17" i="16" s="1"/>
  <c r="G8" i="15"/>
  <c r="G5" i="15"/>
  <c r="G4" i="15"/>
  <c r="G12" i="15" s="1"/>
  <c r="G13" i="83"/>
  <c r="G9" i="85"/>
  <c r="G14" i="85" s="1"/>
  <c r="G16" i="135"/>
  <c r="G13" i="86"/>
  <c r="G11" i="88"/>
  <c r="G9" i="88"/>
  <c r="G6" i="88"/>
  <c r="G26" i="88" s="1"/>
  <c r="G18" i="79"/>
  <c r="G16" i="79"/>
  <c r="G5" i="79"/>
  <c r="G24" i="79" s="1"/>
  <c r="G13" i="80"/>
  <c r="G16" i="75"/>
  <c r="G8" i="77"/>
  <c r="G20" i="77" s="1"/>
  <c r="G7" i="74"/>
  <c r="G34" i="74" s="1"/>
  <c r="G18" i="136"/>
  <c r="H17" i="132"/>
  <c r="G17" i="132"/>
  <c r="G12" i="132"/>
  <c r="G11" i="132"/>
  <c r="G9" i="132"/>
  <c r="G7" i="132"/>
  <c r="G22" i="132" s="1"/>
  <c r="G14" i="133"/>
  <c r="C16" i="144"/>
  <c r="B16" i="144"/>
  <c r="F21" i="153"/>
  <c r="F20" i="153"/>
  <c r="F9" i="153"/>
  <c r="F6" i="153"/>
  <c r="F27" i="153"/>
  <c r="F12" i="147"/>
  <c r="G19" i="140"/>
  <c r="G32" i="125"/>
  <c r="G19" i="126"/>
  <c r="G6" i="126"/>
  <c r="G22" i="126" s="1"/>
  <c r="G34" i="69"/>
  <c r="G8" i="112"/>
  <c r="G10" i="122"/>
  <c r="G13" i="123"/>
  <c r="G10" i="123"/>
  <c r="G20" i="116"/>
  <c r="G19" i="116"/>
  <c r="G17" i="116"/>
  <c r="G15" i="116"/>
  <c r="G12" i="116"/>
  <c r="G10" i="116"/>
  <c r="G5" i="116"/>
  <c r="G24" i="116" s="1"/>
  <c r="G6" i="115" s="1"/>
  <c r="G29" i="100"/>
  <c r="G23" i="95"/>
  <c r="G19" i="67"/>
  <c r="G13" i="67"/>
  <c r="G12" i="67"/>
  <c r="G11" i="67"/>
  <c r="G24" i="67" s="1"/>
  <c r="G9" i="113"/>
  <c r="G16" i="65"/>
  <c r="G13" i="65"/>
  <c r="G11" i="65"/>
  <c r="G10" i="65"/>
  <c r="G9" i="65"/>
  <c r="G8" i="65"/>
  <c r="G7" i="65"/>
  <c r="G6" i="65"/>
  <c r="G18" i="65" s="1"/>
  <c r="G6" i="64"/>
  <c r="G11" i="64" s="1"/>
  <c r="G14" i="8"/>
  <c r="G11" i="118"/>
  <c r="G5" i="120"/>
  <c r="G4" i="120"/>
  <c r="G12" i="120" s="1"/>
  <c r="H4" i="141"/>
  <c r="H3" i="141"/>
  <c r="G7" i="141"/>
  <c r="H7" i="141" s="1"/>
  <c r="G5" i="119" l="1"/>
  <c r="G12" i="119" s="1"/>
  <c r="H24" i="141"/>
  <c r="J8" i="141" l="1"/>
  <c r="J17" i="141"/>
  <c r="H8" i="151" l="1"/>
  <c r="H40" i="151"/>
  <c r="H16" i="151"/>
  <c r="H18" i="151"/>
  <c r="H12" i="151"/>
  <c r="H4" i="151"/>
  <c r="B10" i="144"/>
  <c r="B11" i="144"/>
  <c r="C15" i="144"/>
  <c r="C14" i="144"/>
  <c r="C13" i="144"/>
  <c r="C12" i="144"/>
  <c r="C11" i="144"/>
  <c r="C10" i="144"/>
  <c r="C9" i="144"/>
  <c r="C8" i="144"/>
  <c r="C7" i="144"/>
  <c r="C6" i="144"/>
  <c r="C5" i="144"/>
  <c r="C3" i="144"/>
  <c r="H17" i="151"/>
  <c r="B15" i="144"/>
  <c r="B14" i="144"/>
  <c r="B13" i="144"/>
  <c r="B12" i="144"/>
  <c r="B9" i="144"/>
  <c r="B8" i="144"/>
  <c r="B7" i="144"/>
  <c r="B6" i="144"/>
  <c r="B5" i="144"/>
  <c r="B3" i="144"/>
  <c r="H47" i="151" l="1"/>
  <c r="H33" i="151"/>
  <c r="F13" i="135"/>
  <c r="G42" i="151"/>
  <c r="G9" i="153"/>
  <c r="H5" i="16" l="1"/>
  <c r="H6" i="16"/>
  <c r="H7" i="16"/>
  <c r="H8" i="16"/>
  <c r="H9" i="16"/>
  <c r="H10" i="16"/>
  <c r="H11" i="16"/>
  <c r="H12" i="16"/>
  <c r="H13" i="16"/>
  <c r="H12" i="67" l="1"/>
  <c r="J11" i="141" l="1"/>
  <c r="I3" i="141"/>
  <c r="H11" i="67"/>
  <c r="H13" i="67"/>
  <c r="E22" i="117"/>
  <c r="H15" i="116"/>
  <c r="E10" i="155"/>
  <c r="F10" i="155" s="1"/>
  <c r="G10" i="155" s="1"/>
  <c r="H10" i="155" s="1"/>
  <c r="I10" i="155" s="1"/>
  <c r="J10" i="155" s="1"/>
  <c r="K10" i="155" s="1"/>
  <c r="L10" i="155" s="1"/>
  <c r="M10" i="155" s="1"/>
  <c r="D17" i="155" s="1"/>
  <c r="E17" i="155" s="1"/>
  <c r="F17" i="155" s="1"/>
  <c r="G17" i="155" s="1"/>
  <c r="H17" i="155" s="1"/>
  <c r="I17" i="155" s="1"/>
  <c r="J17" i="155" s="1"/>
  <c r="K17" i="155" s="1"/>
  <c r="L17" i="155" s="1"/>
  <c r="M17" i="155" s="1"/>
  <c r="D24" i="155" s="1"/>
  <c r="E24" i="155" s="1"/>
  <c r="F24" i="155" s="1"/>
  <c r="G24" i="155" s="1"/>
  <c r="H24" i="155" s="1"/>
  <c r="I24" i="155" s="1"/>
  <c r="J24" i="155" s="1"/>
  <c r="K24" i="155" s="1"/>
  <c r="L24" i="155" s="1"/>
  <c r="M24" i="155" s="1"/>
  <c r="H11" i="132"/>
  <c r="H12" i="132"/>
  <c r="H7" i="74"/>
  <c r="H8" i="77"/>
  <c r="H4" i="15"/>
  <c r="H9" i="85"/>
  <c r="H13" i="65"/>
  <c r="F5" i="119"/>
  <c r="F12" i="119" s="1"/>
  <c r="F15" i="102"/>
  <c r="F17" i="134"/>
  <c r="F13" i="137"/>
  <c r="F11" i="101"/>
  <c r="F6" i="101"/>
  <c r="F15" i="90"/>
  <c r="F14" i="16"/>
  <c r="F13" i="16"/>
  <c r="F12" i="16"/>
  <c r="F11" i="16"/>
  <c r="F10" i="16"/>
  <c r="F9" i="16"/>
  <c r="F8" i="16"/>
  <c r="F7" i="16"/>
  <c r="F6" i="16"/>
  <c r="F5" i="16"/>
  <c r="F17" i="16" s="1"/>
  <c r="F8" i="15"/>
  <c r="F7" i="15"/>
  <c r="F5" i="15"/>
  <c r="F4" i="15"/>
  <c r="F12" i="15" s="1"/>
  <c r="F13" i="83"/>
  <c r="F14" i="85"/>
  <c r="F9" i="85"/>
  <c r="F16" i="135"/>
  <c r="F13" i="86"/>
  <c r="F20" i="88"/>
  <c r="F19" i="88"/>
  <c r="F11" i="88"/>
  <c r="F9" i="88"/>
  <c r="F6" i="88"/>
  <c r="F16" i="79"/>
  <c r="F24" i="79" s="1"/>
  <c r="F13" i="80"/>
  <c r="F16" i="75"/>
  <c r="F8" i="77"/>
  <c r="F20" i="77" s="1"/>
  <c r="F7" i="74"/>
  <c r="F34" i="74" s="1"/>
  <c r="F18" i="136"/>
  <c r="F17" i="132"/>
  <c r="F12" i="132"/>
  <c r="F11" i="132"/>
  <c r="F9" i="132"/>
  <c r="F22" i="132" s="1"/>
  <c r="F7" i="132"/>
  <c r="F14" i="133"/>
  <c r="E16" i="153"/>
  <c r="E17" i="153"/>
  <c r="E15" i="153"/>
  <c r="E21" i="153"/>
  <c r="E20" i="153"/>
  <c r="E12" i="147"/>
  <c r="F19" i="140"/>
  <c r="F32" i="125"/>
  <c r="F22" i="126"/>
  <c r="F34" i="69"/>
  <c r="F27" i="69"/>
  <c r="F8" i="112"/>
  <c r="F10" i="122"/>
  <c r="F13" i="123"/>
  <c r="F19" i="116"/>
  <c r="F17" i="116"/>
  <c r="F15" i="116"/>
  <c r="F12" i="116"/>
  <c r="F10" i="116"/>
  <c r="F5" i="116"/>
  <c r="F26" i="100"/>
  <c r="F25" i="100"/>
  <c r="F29" i="100" s="1"/>
  <c r="F23" i="95"/>
  <c r="F19" i="67"/>
  <c r="F18" i="67"/>
  <c r="F13" i="67"/>
  <c r="F12" i="67"/>
  <c r="F24" i="67" s="1"/>
  <c r="F11" i="67"/>
  <c r="F9" i="113"/>
  <c r="F15" i="65"/>
  <c r="F13" i="65"/>
  <c r="F11" i="65"/>
  <c r="F10" i="65"/>
  <c r="F9" i="65"/>
  <c r="F8" i="65"/>
  <c r="F7" i="65"/>
  <c r="F6" i="65"/>
  <c r="F18" i="65" s="1"/>
  <c r="F6" i="64"/>
  <c r="F11" i="64" s="1"/>
  <c r="F9" i="8"/>
  <c r="F8" i="8"/>
  <c r="F14" i="8" s="1"/>
  <c r="F11" i="118"/>
  <c r="F12" i="120"/>
  <c r="F5" i="120"/>
  <c r="G21" i="141"/>
  <c r="G13" i="141"/>
  <c r="G12" i="141"/>
  <c r="G4" i="141"/>
  <c r="D11" i="105"/>
  <c r="G24" i="141" l="1"/>
  <c r="F24" i="116"/>
  <c r="F26" i="88"/>
  <c r="E27" i="153"/>
  <c r="D54" i="105"/>
  <c r="F6" i="115" l="1"/>
  <c r="F12" i="115" s="1"/>
  <c r="G12" i="115"/>
  <c r="H24" i="79"/>
  <c r="P9" i="151"/>
  <c r="D42" i="117"/>
  <c r="I25" i="151" l="1"/>
  <c r="C25" i="151" s="1"/>
  <c r="I23" i="151"/>
  <c r="C23" i="151" s="1"/>
  <c r="I26" i="151"/>
  <c r="C26" i="151" s="1"/>
  <c r="I24" i="151"/>
  <c r="C24" i="151" s="1"/>
  <c r="P10" i="151"/>
  <c r="I31" i="151" s="1"/>
  <c r="C31" i="151" s="1"/>
  <c r="D7" i="131"/>
  <c r="D13" i="131"/>
  <c r="G3" i="155"/>
  <c r="K3" i="155"/>
  <c r="D4" i="131"/>
  <c r="D10" i="131"/>
  <c r="E3" i="155"/>
  <c r="I3" i="155"/>
  <c r="E31" i="151" l="1"/>
  <c r="F31" i="151"/>
  <c r="P11" i="151"/>
  <c r="I22" i="151"/>
  <c r="C22" i="151" s="1"/>
  <c r="E26" i="151"/>
  <c r="F26" i="151"/>
  <c r="P12" i="151"/>
  <c r="G31" i="151" l="1"/>
  <c r="K31" i="151" s="1"/>
  <c r="I21" i="151"/>
  <c r="C21" i="151" s="1"/>
  <c r="I41" i="151"/>
  <c r="C41" i="151" s="1"/>
  <c r="E41" i="151" s="1"/>
  <c r="G26" i="151"/>
  <c r="K26" i="151" s="1"/>
  <c r="P13" i="151"/>
  <c r="I16" i="151" s="1"/>
  <c r="C16" i="151" s="1"/>
  <c r="P14" i="151" l="1"/>
  <c r="P15" i="151" l="1"/>
  <c r="P16" i="151" l="1"/>
  <c r="P17" i="151" s="1"/>
  <c r="I20" i="151"/>
  <c r="C20" i="151" s="1"/>
  <c r="I15" i="151"/>
  <c r="C15" i="151" s="1"/>
  <c r="E24" i="151"/>
  <c r="E25" i="151"/>
  <c r="F24" i="151"/>
  <c r="F25" i="151"/>
  <c r="I13" i="151" l="1"/>
  <c r="C13" i="151" s="1"/>
  <c r="I7" i="151"/>
  <c r="C7" i="151" s="1"/>
  <c r="I19" i="151"/>
  <c r="C19" i="151" s="1"/>
  <c r="I10" i="151"/>
  <c r="C10" i="151" s="1"/>
  <c r="I14" i="151"/>
  <c r="C14" i="151" s="1"/>
  <c r="P18" i="151"/>
  <c r="G25" i="151"/>
  <c r="K25" i="151" s="1"/>
  <c r="G24" i="151"/>
  <c r="K24" i="151" s="1"/>
  <c r="E9" i="8"/>
  <c r="E7" i="151" l="1"/>
  <c r="F10" i="151"/>
  <c r="E10" i="151"/>
  <c r="I12" i="151"/>
  <c r="C12" i="151" s="1"/>
  <c r="I9" i="151"/>
  <c r="C9" i="151" s="1"/>
  <c r="P19" i="151"/>
  <c r="E6" i="101"/>
  <c r="D6" i="101"/>
  <c r="E10" i="90"/>
  <c r="E13" i="16"/>
  <c r="E12" i="16"/>
  <c r="E11" i="16"/>
  <c r="E10" i="16"/>
  <c r="E9" i="16"/>
  <c r="E8" i="16"/>
  <c r="E7" i="16"/>
  <c r="E6" i="16"/>
  <c r="E5" i="16"/>
  <c r="E7" i="15"/>
  <c r="D7" i="15"/>
  <c r="E5" i="15"/>
  <c r="D5" i="15"/>
  <c r="E4" i="15"/>
  <c r="D4" i="15"/>
  <c r="E9" i="85"/>
  <c r="D9" i="85"/>
  <c r="E11" i="135"/>
  <c r="E10" i="135"/>
  <c r="E9" i="135"/>
  <c r="E8" i="135"/>
  <c r="E7" i="135"/>
  <c r="E6" i="135"/>
  <c r="E18" i="88"/>
  <c r="E17" i="88"/>
  <c r="E11" i="88"/>
  <c r="E9" i="88"/>
  <c r="D9" i="88"/>
  <c r="E6" i="88"/>
  <c r="E16" i="79"/>
  <c r="D16" i="79"/>
  <c r="E8" i="80"/>
  <c r="D14" i="77"/>
  <c r="E8" i="77"/>
  <c r="D8" i="77"/>
  <c r="E24" i="74"/>
  <c r="E22" i="74"/>
  <c r="E21" i="74"/>
  <c r="E20" i="74"/>
  <c r="D20" i="74"/>
  <c r="E14" i="74"/>
  <c r="D14" i="74"/>
  <c r="D13" i="74"/>
  <c r="D8" i="74"/>
  <c r="E7" i="74"/>
  <c r="D7" i="74"/>
  <c r="E6" i="74"/>
  <c r="D6" i="74"/>
  <c r="E17" i="132"/>
  <c r="D17" i="132"/>
  <c r="E12" i="132"/>
  <c r="D12" i="132"/>
  <c r="E11" i="132"/>
  <c r="D11" i="132"/>
  <c r="E9" i="132"/>
  <c r="D9" i="132"/>
  <c r="E7" i="132"/>
  <c r="D7" i="132"/>
  <c r="D27" i="153"/>
  <c r="E15" i="140"/>
  <c r="D6" i="140"/>
  <c r="E15" i="126"/>
  <c r="D17" i="69"/>
  <c r="D5" i="112"/>
  <c r="E19" i="116"/>
  <c r="D19" i="116"/>
  <c r="E17" i="116"/>
  <c r="D17" i="116"/>
  <c r="E15" i="116"/>
  <c r="D15" i="116"/>
  <c r="D14" i="116"/>
  <c r="E12" i="116"/>
  <c r="D12" i="116"/>
  <c r="E10" i="116"/>
  <c r="D10" i="116"/>
  <c r="D8" i="116"/>
  <c r="E5" i="116"/>
  <c r="E11" i="100"/>
  <c r="E14" i="65"/>
  <c r="E13" i="65"/>
  <c r="E10" i="65"/>
  <c r="D10" i="65"/>
  <c r="E9" i="65"/>
  <c r="D9" i="65"/>
  <c r="E8" i="65"/>
  <c r="D8" i="65"/>
  <c r="E7" i="65"/>
  <c r="D7" i="65"/>
  <c r="E6" i="65"/>
  <c r="D6" i="65"/>
  <c r="E6" i="64"/>
  <c r="D12" i="8"/>
  <c r="C10" i="8"/>
  <c r="C9" i="8"/>
  <c r="C8" i="8"/>
  <c r="D5" i="118"/>
  <c r="E5" i="119"/>
  <c r="D5" i="119"/>
  <c r="E5" i="120"/>
  <c r="D5" i="120"/>
  <c r="E4" i="120"/>
  <c r="D4" i="120"/>
  <c r="F13" i="141"/>
  <c r="F12" i="141"/>
  <c r="F9" i="141"/>
  <c r="F7" i="151" l="1"/>
  <c r="G7" i="151" s="1"/>
  <c r="K7" i="151" s="1"/>
  <c r="G10" i="151"/>
  <c r="K10" i="151" s="1"/>
  <c r="I8" i="151"/>
  <c r="C8" i="151" s="1"/>
  <c r="I18" i="151"/>
  <c r="C18" i="151" s="1"/>
  <c r="I4" i="151"/>
  <c r="C4" i="151" s="1"/>
  <c r="I6" i="151"/>
  <c r="P20" i="151"/>
  <c r="I3" i="151" s="1"/>
  <c r="C3" i="151" s="1"/>
  <c r="G21" i="153"/>
  <c r="C6" i="151" l="1"/>
  <c r="E6" i="151" s="1"/>
  <c r="F3" i="151"/>
  <c r="F18" i="151"/>
  <c r="P21" i="151"/>
  <c r="J4" i="141"/>
  <c r="F6" i="151" l="1"/>
  <c r="E3" i="151"/>
  <c r="G3" i="151" s="1"/>
  <c r="G6" i="151"/>
  <c r="K6" i="151" s="1"/>
  <c r="E18" i="151"/>
  <c r="G18" i="151" s="1"/>
  <c r="K18" i="151" s="1"/>
  <c r="P22" i="151"/>
  <c r="P23" i="151" s="1"/>
  <c r="I17" i="151"/>
  <c r="C17" i="151" s="1"/>
  <c r="P24" i="151"/>
  <c r="P25" i="151" s="1"/>
  <c r="P26" i="151" s="1"/>
  <c r="P27" i="151" s="1"/>
  <c r="P28" i="151" s="1"/>
  <c r="P29" i="151" s="1"/>
  <c r="G20" i="153"/>
  <c r="H32" i="125"/>
  <c r="F29" i="105" s="1"/>
  <c r="H5" i="119"/>
  <c r="C24" i="67"/>
  <c r="D24" i="67"/>
  <c r="H24" i="67"/>
  <c r="E24" i="67"/>
  <c r="K3" i="151" l="1"/>
  <c r="P30" i="151"/>
  <c r="I5" i="151" s="1"/>
  <c r="C5" i="151" s="1"/>
  <c r="I40" i="151"/>
  <c r="P31" i="151"/>
  <c r="P32" i="151" s="1"/>
  <c r="P33" i="151" s="1"/>
  <c r="D33" i="117"/>
  <c r="D13" i="117"/>
  <c r="D41" i="117"/>
  <c r="D40" i="117"/>
  <c r="D39" i="117"/>
  <c r="D27" i="117"/>
  <c r="D21" i="117"/>
  <c r="D14" i="117"/>
  <c r="D12" i="117"/>
  <c r="D8" i="117"/>
  <c r="D23" i="117" s="1"/>
  <c r="D5" i="117"/>
  <c r="D20" i="117" s="1"/>
  <c r="D4" i="117"/>
  <c r="D19" i="117" s="1"/>
  <c r="J47" i="151"/>
  <c r="I33" i="151" l="1"/>
  <c r="I47" i="151"/>
  <c r="C40" i="151"/>
  <c r="P34" i="151"/>
  <c r="P35" i="151" s="1"/>
  <c r="P36" i="151" s="1"/>
  <c r="P37" i="151" s="1"/>
  <c r="I2" i="151"/>
  <c r="C2" i="151" s="1"/>
  <c r="D15" i="117"/>
  <c r="D31" i="117"/>
  <c r="F7" i="105"/>
  <c r="F4" i="105"/>
  <c r="F2" i="105"/>
  <c r="E23" i="151"/>
  <c r="E18" i="136"/>
  <c r="D18" i="136"/>
  <c r="C18" i="136"/>
  <c r="D22" i="132"/>
  <c r="C22" i="132"/>
  <c r="E22" i="132"/>
  <c r="G15" i="153"/>
  <c r="G16" i="153"/>
  <c r="G17" i="153"/>
  <c r="G18" i="153"/>
  <c r="I24" i="141"/>
  <c r="G63" i="151"/>
  <c r="G62" i="151"/>
  <c r="G61" i="151"/>
  <c r="G54" i="151"/>
  <c r="G53" i="151"/>
  <c r="G52" i="151"/>
  <c r="G51" i="151"/>
  <c r="F5" i="151" l="1"/>
  <c r="E5" i="151"/>
  <c r="C33" i="151"/>
  <c r="F23" i="151"/>
  <c r="G23" i="151" s="1"/>
  <c r="K23" i="151" s="1"/>
  <c r="E33" i="117"/>
  <c r="E32" i="117"/>
  <c r="E31" i="117"/>
  <c r="E27" i="117"/>
  <c r="E23" i="117"/>
  <c r="E21" i="117"/>
  <c r="E20" i="117"/>
  <c r="E19" i="117"/>
  <c r="E15" i="117"/>
  <c r="E14" i="117"/>
  <c r="E13" i="117"/>
  <c r="E12" i="117"/>
  <c r="E8" i="117"/>
  <c r="E7" i="117"/>
  <c r="E4" i="117"/>
  <c r="E5" i="117"/>
  <c r="E6" i="117"/>
  <c r="G5" i="151" l="1"/>
  <c r="F2" i="151"/>
  <c r="E2" i="151"/>
  <c r="H6" i="153"/>
  <c r="K5" i="151" l="1"/>
  <c r="G2" i="151"/>
  <c r="F3" i="105"/>
  <c r="H26" i="88" l="1"/>
  <c r="F42" i="105" s="1"/>
  <c r="E14" i="8"/>
  <c r="H10" i="153"/>
  <c r="H20" i="153"/>
  <c r="H16" i="135" l="1"/>
  <c r="F44" i="105" s="1"/>
  <c r="F20" i="105" l="1"/>
  <c r="E20" i="151" l="1"/>
  <c r="E22" i="151"/>
  <c r="E21" i="151"/>
  <c r="E16" i="151"/>
  <c r="F15" i="151"/>
  <c r="F22" i="151" l="1"/>
  <c r="E15" i="151"/>
  <c r="G15" i="151" s="1"/>
  <c r="K15" i="151" s="1"/>
  <c r="F16" i="151"/>
  <c r="G16" i="151" s="1"/>
  <c r="K16" i="151" s="1"/>
  <c r="F21" i="151"/>
  <c r="G21" i="151" s="1"/>
  <c r="K21" i="151" s="1"/>
  <c r="F20" i="151"/>
  <c r="G20" i="151" s="1"/>
  <c r="K20" i="151" s="1"/>
  <c r="C13" i="137"/>
  <c r="D13" i="137"/>
  <c r="E13" i="137"/>
  <c r="H13" i="137"/>
  <c r="F51" i="105" s="1"/>
  <c r="B12" i="137"/>
  <c r="B13" i="137" s="1"/>
  <c r="B15" i="135"/>
  <c r="E38" i="117"/>
  <c r="E39" i="117"/>
  <c r="E40" i="117"/>
  <c r="E41" i="117"/>
  <c r="E42" i="117"/>
  <c r="E43" i="117"/>
  <c r="E44" i="117"/>
  <c r="E45" i="117"/>
  <c r="E37" i="117"/>
  <c r="H15" i="102"/>
  <c r="F53" i="105" s="1"/>
  <c r="H17" i="134"/>
  <c r="F52" i="105" s="1"/>
  <c r="F14" i="139"/>
  <c r="H11" i="101"/>
  <c r="F50" i="105" s="1"/>
  <c r="H15" i="90"/>
  <c r="F49" i="105" s="1"/>
  <c r="H17" i="16"/>
  <c r="F48" i="105" s="1"/>
  <c r="H12" i="15"/>
  <c r="F47" i="105" s="1"/>
  <c r="H13" i="83"/>
  <c r="F46" i="105" s="1"/>
  <c r="H14" i="85"/>
  <c r="F45" i="105" s="1"/>
  <c r="H13" i="86"/>
  <c r="F43" i="105" s="1"/>
  <c r="G22" i="151" l="1"/>
  <c r="K22" i="151" s="1"/>
  <c r="F41" i="105"/>
  <c r="H13" i="80"/>
  <c r="F40" i="105" s="1"/>
  <c r="H16" i="75"/>
  <c r="F39" i="105" s="1"/>
  <c r="H20" i="77"/>
  <c r="F38" i="105" s="1"/>
  <c r="H34" i="74"/>
  <c r="F37" i="105" s="1"/>
  <c r="H18" i="136"/>
  <c r="F36" i="105" s="1"/>
  <c r="H22" i="132"/>
  <c r="F35" i="105" s="1"/>
  <c r="H14" i="133"/>
  <c r="F34" i="105" s="1"/>
  <c r="G12" i="147"/>
  <c r="F31" i="105" s="1"/>
  <c r="H19" i="140"/>
  <c r="F30" i="105" s="1"/>
  <c r="H22" i="126"/>
  <c r="F28" i="105" s="1"/>
  <c r="H34" i="69"/>
  <c r="F27" i="105" s="1"/>
  <c r="H8" i="112"/>
  <c r="F26" i="105" s="1"/>
  <c r="H10" i="122"/>
  <c r="F25" i="105" s="1"/>
  <c r="H13" i="123"/>
  <c r="F24" i="105" s="1"/>
  <c r="H24" i="116"/>
  <c r="H29" i="100"/>
  <c r="F22" i="105" s="1"/>
  <c r="H23" i="95"/>
  <c r="F21" i="105" s="1"/>
  <c r="H9" i="113"/>
  <c r="F19" i="105" s="1"/>
  <c r="H18" i="65"/>
  <c r="F18" i="105" s="1"/>
  <c r="H11" i="64"/>
  <c r="F17" i="105" s="1"/>
  <c r="E11" i="118"/>
  <c r="E12" i="119"/>
  <c r="E12" i="120"/>
  <c r="F24" i="141"/>
  <c r="G41" i="151"/>
  <c r="K41" i="151" s="1"/>
  <c r="E24" i="79"/>
  <c r="E13" i="123"/>
  <c r="E34" i="69"/>
  <c r="D34" i="69"/>
  <c r="C34" i="69"/>
  <c r="B34" i="69"/>
  <c r="E11" i="64"/>
  <c r="D11" i="64"/>
  <c r="C11" i="64"/>
  <c r="B11" i="64"/>
  <c r="D12" i="119"/>
  <c r="H6" i="115" l="1"/>
  <c r="G59" i="151"/>
  <c r="G58" i="151"/>
  <c r="C27" i="153"/>
  <c r="B27" i="153"/>
  <c r="D15" i="102"/>
  <c r="C15" i="102"/>
  <c r="B15" i="102"/>
  <c r="D17" i="134"/>
  <c r="C17" i="134"/>
  <c r="B17" i="134"/>
  <c r="D14" i="139"/>
  <c r="C14" i="139"/>
  <c r="B14" i="139"/>
  <c r="D11" i="101"/>
  <c r="C11" i="101"/>
  <c r="B11" i="101"/>
  <c r="D15" i="90"/>
  <c r="C15" i="90"/>
  <c r="B15" i="90"/>
  <c r="D17" i="16"/>
  <c r="C17" i="16"/>
  <c r="B17" i="16"/>
  <c r="D12" i="15"/>
  <c r="C12" i="15"/>
  <c r="B12" i="15"/>
  <c r="D13" i="83"/>
  <c r="C13" i="83"/>
  <c r="B13" i="83"/>
  <c r="D14" i="85"/>
  <c r="C14" i="85"/>
  <c r="B14" i="85"/>
  <c r="D16" i="135"/>
  <c r="C16" i="135"/>
  <c r="B16" i="135"/>
  <c r="D13" i="86"/>
  <c r="C13" i="86"/>
  <c r="B13" i="86"/>
  <c r="D26" i="88"/>
  <c r="C26" i="88"/>
  <c r="B26" i="88"/>
  <c r="D24" i="79"/>
  <c r="C24" i="79"/>
  <c r="B24" i="79"/>
  <c r="D13" i="80"/>
  <c r="C13" i="80"/>
  <c r="B13" i="80"/>
  <c r="D16" i="75"/>
  <c r="C16" i="75"/>
  <c r="B16" i="75"/>
  <c r="D20" i="77"/>
  <c r="C20" i="77"/>
  <c r="B20" i="77"/>
  <c r="D34" i="74"/>
  <c r="C34" i="74"/>
  <c r="B34" i="74"/>
  <c r="B18" i="136"/>
  <c r="B22" i="132"/>
  <c r="D14" i="133"/>
  <c r="C14" i="133"/>
  <c r="B14" i="133"/>
  <c r="C12" i="147"/>
  <c r="B12" i="147"/>
  <c r="D19" i="140"/>
  <c r="C19" i="140"/>
  <c r="B19" i="140"/>
  <c r="D32" i="125"/>
  <c r="C32" i="125"/>
  <c r="B32" i="125"/>
  <c r="D22" i="126"/>
  <c r="C22" i="126"/>
  <c r="B22" i="126"/>
  <c r="D8" i="112"/>
  <c r="C8" i="112"/>
  <c r="B8" i="112"/>
  <c r="D10" i="122"/>
  <c r="C10" i="122"/>
  <c r="B10" i="122"/>
  <c r="D13" i="123"/>
  <c r="C13" i="123"/>
  <c r="B13" i="123"/>
  <c r="D24" i="116"/>
  <c r="D6" i="115" s="1"/>
  <c r="C24" i="116"/>
  <c r="C6" i="115" s="1"/>
  <c r="C12" i="115" s="1"/>
  <c r="B24" i="116"/>
  <c r="B12" i="115"/>
  <c r="D29" i="100"/>
  <c r="C29" i="100"/>
  <c r="B29" i="100"/>
  <c r="D23" i="95"/>
  <c r="C23" i="95"/>
  <c r="B23" i="95"/>
  <c r="B24" i="67"/>
  <c r="D9" i="113"/>
  <c r="C9" i="113"/>
  <c r="B9" i="113"/>
  <c r="D18" i="65"/>
  <c r="C18" i="65"/>
  <c r="B18" i="65"/>
  <c r="C14" i="8" l="1"/>
  <c r="B14" i="8"/>
  <c r="D11" i="118"/>
  <c r="C11" i="118"/>
  <c r="B11" i="118"/>
  <c r="C12" i="119"/>
  <c r="B12" i="119"/>
  <c r="H12" i="120"/>
  <c r="F13" i="105" s="1"/>
  <c r="D12" i="120"/>
  <c r="C12" i="120"/>
  <c r="B12" i="120"/>
  <c r="F9" i="105"/>
  <c r="J15" i="141"/>
  <c r="F8" i="105" s="1"/>
  <c r="F6" i="105"/>
  <c r="F5" i="105"/>
  <c r="F11" i="105" l="1"/>
  <c r="E14" i="139"/>
  <c r="E14" i="85"/>
  <c r="E16" i="135"/>
  <c r="E13" i="86"/>
  <c r="E26" i="88"/>
  <c r="E34" i="74"/>
  <c r="E19" i="140"/>
  <c r="H12" i="119"/>
  <c r="F14" i="105" s="1"/>
  <c r="E46" i="117" l="1"/>
  <c r="K42" i="151" l="1"/>
  <c r="K2" i="151"/>
  <c r="E40" i="151"/>
  <c r="F19" i="151"/>
  <c r="F13" i="151"/>
  <c r="F14" i="151"/>
  <c r="F12" i="151"/>
  <c r="F9" i="151"/>
  <c r="F8" i="151"/>
  <c r="F4" i="151"/>
  <c r="F33" i="151" s="1"/>
  <c r="F17" i="151"/>
  <c r="G40" i="151" l="1"/>
  <c r="K40" i="151" s="1"/>
  <c r="K45" i="151" s="1"/>
  <c r="E17" i="151"/>
  <c r="G17" i="151" s="1"/>
  <c r="K17" i="151" s="1"/>
  <c r="E4" i="151"/>
  <c r="E8" i="151"/>
  <c r="G8" i="151" s="1"/>
  <c r="K8" i="151" s="1"/>
  <c r="E9" i="151"/>
  <c r="G9" i="151" s="1"/>
  <c r="K9" i="151" s="1"/>
  <c r="E12" i="151"/>
  <c r="G12" i="151" s="1"/>
  <c r="K12" i="151" s="1"/>
  <c r="E14" i="151"/>
  <c r="G14" i="151" s="1"/>
  <c r="K14" i="151" s="1"/>
  <c r="E13" i="151"/>
  <c r="G13" i="151" s="1"/>
  <c r="K13" i="151" s="1"/>
  <c r="E19" i="151"/>
  <c r="G19" i="151" s="1"/>
  <c r="K19" i="151" s="1"/>
  <c r="G4" i="151" l="1"/>
  <c r="E33" i="151"/>
  <c r="G14" i="153"/>
  <c r="G56" i="151"/>
  <c r="K4" i="151" l="1"/>
  <c r="K33" i="151" s="1"/>
  <c r="G33" i="151"/>
  <c r="K37" i="151"/>
  <c r="K47" i="151" s="1"/>
  <c r="K65" i="151" s="1"/>
  <c r="G64" i="151" l="1"/>
  <c r="F33" i="105"/>
  <c r="G13" i="153"/>
  <c r="H13" i="153" s="1"/>
  <c r="G55" i="151"/>
  <c r="D24" i="141"/>
  <c r="G4" i="153" l="1"/>
  <c r="G50" i="151" l="1"/>
  <c r="G65" i="151" s="1"/>
  <c r="G66" i="151" s="1"/>
  <c r="G24" i="153"/>
  <c r="E15" i="102"/>
  <c r="E11" i="101"/>
  <c r="G27" i="153" l="1"/>
  <c r="F32" i="105" s="1"/>
  <c r="E16" i="75"/>
  <c r="E14" i="133"/>
  <c r="E32" i="125" l="1"/>
  <c r="E22" i="126"/>
  <c r="E29" i="100"/>
  <c r="I36" i="128" l="1"/>
  <c r="G37" i="128"/>
  <c r="F37" i="128"/>
  <c r="D37" i="128"/>
  <c r="B37" i="128"/>
  <c r="C35" i="128"/>
  <c r="I35" i="128" s="1"/>
  <c r="I27" i="128"/>
  <c r="H31" i="128" l="1"/>
  <c r="H30" i="128"/>
  <c r="H29" i="128"/>
  <c r="H28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7" i="128"/>
  <c r="H12" i="128"/>
  <c r="H5" i="128"/>
  <c r="H10" i="128"/>
  <c r="H13" i="128"/>
  <c r="H8" i="128"/>
  <c r="H6" i="128"/>
  <c r="H11" i="128"/>
  <c r="H9" i="128"/>
  <c r="H4" i="128"/>
  <c r="H3" i="128"/>
  <c r="H2" i="128"/>
  <c r="H37" i="128" s="1"/>
  <c r="E34" i="128"/>
  <c r="E33" i="128"/>
  <c r="E32" i="128"/>
  <c r="E31" i="128"/>
  <c r="E30" i="128"/>
  <c r="E29" i="128"/>
  <c r="E28" i="128"/>
  <c r="C32" i="128"/>
  <c r="I32" i="128" s="1"/>
  <c r="E26" i="128"/>
  <c r="E25" i="128"/>
  <c r="E24" i="128"/>
  <c r="E22" i="128"/>
  <c r="E21" i="128"/>
  <c r="E23" i="128"/>
  <c r="E20" i="128"/>
  <c r="E19" i="128"/>
  <c r="E18" i="128"/>
  <c r="E17" i="128"/>
  <c r="E16" i="128"/>
  <c r="E15" i="128"/>
  <c r="E14" i="128"/>
  <c r="E7" i="128"/>
  <c r="E12" i="128"/>
  <c r="E5" i="128"/>
  <c r="E10" i="128"/>
  <c r="E13" i="128"/>
  <c r="E8" i="128"/>
  <c r="E6" i="128"/>
  <c r="E11" i="128"/>
  <c r="E9" i="128"/>
  <c r="E4" i="128"/>
  <c r="E3" i="128"/>
  <c r="E2" i="128"/>
  <c r="C22" i="128"/>
  <c r="E37" i="128" l="1"/>
  <c r="I22" i="128"/>
  <c r="E8" i="112" l="1"/>
  <c r="I14" i="8"/>
  <c r="H14" i="8"/>
  <c r="D14" i="8"/>
  <c r="F16" i="105" l="1"/>
  <c r="H16" i="8"/>
  <c r="D12" i="147"/>
  <c r="E10" i="122"/>
  <c r="E24" i="116"/>
  <c r="E23" i="95"/>
  <c r="E9" i="113"/>
  <c r="E18" i="65"/>
  <c r="H11" i="118"/>
  <c r="F15" i="105" s="1"/>
  <c r="C24" i="141"/>
  <c r="C33" i="128" l="1"/>
  <c r="I33" i="128" s="1"/>
  <c r="C21" i="128"/>
  <c r="I21" i="128" s="1"/>
  <c r="E17" i="134" l="1"/>
  <c r="E15" i="90" l="1"/>
  <c r="E17" i="16"/>
  <c r="E12" i="15"/>
  <c r="E13" i="83"/>
  <c r="E13" i="80"/>
  <c r="E20" i="77"/>
  <c r="D12" i="115" l="1"/>
  <c r="C29" i="128" l="1"/>
  <c r="I29" i="128" s="1"/>
  <c r="C20" i="128"/>
  <c r="I20" i="128" s="1"/>
  <c r="C19" i="128"/>
  <c r="I19" i="128" s="1"/>
  <c r="C18" i="128"/>
  <c r="I18" i="128" s="1"/>
  <c r="E34" i="117"/>
  <c r="E28" i="117"/>
  <c r="E24" i="117"/>
  <c r="E16" i="117"/>
  <c r="E9" i="117"/>
  <c r="E48" i="117" l="1"/>
  <c r="E12" i="115" l="1"/>
  <c r="H5" i="115"/>
  <c r="H12" i="115" s="1"/>
  <c r="F23" i="105" s="1"/>
  <c r="C8" i="128"/>
  <c r="I8" i="128" s="1"/>
  <c r="E24" i="141"/>
  <c r="C24" i="128"/>
  <c r="I24" i="128"/>
  <c r="C15" i="128"/>
  <c r="I15" i="128"/>
  <c r="C26" i="128"/>
  <c r="I26" i="128"/>
  <c r="C25" i="128"/>
  <c r="I25" i="128"/>
  <c r="C7" i="128"/>
  <c r="I7" i="128"/>
  <c r="C28" i="128"/>
  <c r="I28" i="128"/>
  <c r="C30" i="128"/>
  <c r="I30" i="128"/>
  <c r="C31" i="128"/>
  <c r="I31" i="128"/>
  <c r="C3" i="128"/>
  <c r="I3" i="128"/>
  <c r="C4" i="128"/>
  <c r="I4" i="128"/>
  <c r="C2" i="128"/>
  <c r="I2" i="128"/>
  <c r="C9" i="128"/>
  <c r="I9" i="128"/>
  <c r="C6" i="128"/>
  <c r="I6" i="128"/>
  <c r="C11" i="128"/>
  <c r="I11" i="128"/>
  <c r="C13" i="128"/>
  <c r="I13" i="128"/>
  <c r="C12" i="128"/>
  <c r="I12" i="128"/>
  <c r="C10" i="128"/>
  <c r="I10" i="128"/>
  <c r="C5" i="128"/>
  <c r="I5" i="128"/>
  <c r="C14" i="128"/>
  <c r="I14" i="128"/>
  <c r="C16" i="128"/>
  <c r="I16" i="128"/>
  <c r="C17" i="128"/>
  <c r="I17" i="128"/>
  <c r="C23" i="128"/>
  <c r="I23" i="128"/>
  <c r="C34" i="128"/>
  <c r="I34" i="128"/>
  <c r="F54" i="105" l="1"/>
  <c r="F57" i="105" s="1"/>
  <c r="C37" i="128"/>
  <c r="I37" i="128"/>
  <c r="C38" i="128"/>
</calcChain>
</file>

<file path=xl/sharedStrings.xml><?xml version="1.0" encoding="utf-8"?>
<sst xmlns="http://schemas.openxmlformats.org/spreadsheetml/2006/main" count="1002" uniqueCount="777">
  <si>
    <t>Anti-virus annual renewal - Trend Micro</t>
  </si>
  <si>
    <t>Monitors</t>
  </si>
  <si>
    <t>Class B Foam (32, 5 gall @ 70)</t>
  </si>
  <si>
    <t>Class A Foam (20, 5 gall @ 65)</t>
  </si>
  <si>
    <t>HazMat equipment and supplies</t>
  </si>
  <si>
    <t>AED Equipment- Batteries, Pads, Razors, Cards, Etc.</t>
  </si>
  <si>
    <t>Air Filters (both stations)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</si>
  <si>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</si>
  <si>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</si>
  <si>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</si>
  <si>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</si>
  <si>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</si>
  <si>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</si>
  <si>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</si>
  <si>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</si>
  <si>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</si>
  <si>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</si>
  <si>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ILS Kits to include medical bag &amp; supplies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</si>
  <si>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</si>
  <si>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</si>
  <si>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</si>
  <si>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</si>
  <si>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</si>
  <si>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</si>
  <si>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</si>
  <si>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Paychex regular processing fees *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</si>
  <si>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</si>
  <si>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</si>
  <si>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</si>
  <si>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</si>
  <si>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</si>
  <si>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Certification</t>
  </si>
  <si>
    <t>HazMat Tech</t>
  </si>
  <si>
    <t>HazMat Team Member</t>
  </si>
  <si>
    <t>Rescue Tech</t>
  </si>
  <si>
    <t>Fire Investigator</t>
  </si>
  <si>
    <t>Fire Inspector</t>
  </si>
  <si>
    <t>EMT-Intermediate</t>
  </si>
  <si>
    <t>Intermediate FF</t>
  </si>
  <si>
    <t>Advanced FF</t>
  </si>
  <si>
    <t>Master FF</t>
  </si>
  <si>
    <t>Lawn Care Supplies (Weed Killer, Trash bags,  Lawn Tools)</t>
  </si>
  <si>
    <t>Causes &amp; suits etc. - estimate</t>
  </si>
  <si>
    <t>Loan repayment</t>
  </si>
  <si>
    <t>Employee &amp; Member Recognition</t>
  </si>
  <si>
    <t>TAFC/TAFE</t>
  </si>
  <si>
    <t>Copy Machine - 2 copiers/both stations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</si>
  <si>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</si>
  <si>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</si>
  <si>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</si>
  <si>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</si>
  <si>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</si>
  <si>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</si>
  <si>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>PROTECTIVE GEAR  WORKSHEET</t>
  </si>
  <si>
    <t>Salaries</t>
  </si>
  <si>
    <t>Year</t>
  </si>
  <si>
    <t>Rate</t>
  </si>
  <si>
    <t>#PP</t>
  </si>
  <si>
    <t>Total hourly</t>
  </si>
  <si>
    <t>Basic firefighting:</t>
  </si>
  <si>
    <t>Unscheduled overtime</t>
  </si>
  <si>
    <t>Awards &amp; Recognition - general, includes medals &amp; pins</t>
  </si>
  <si>
    <t>Awards Banquet</t>
  </si>
  <si>
    <t>TOTAL FIREFIGHTING: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</si>
  <si>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</si>
  <si>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</si>
  <si>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</si>
  <si>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</si>
  <si>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</si>
  <si>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</si>
  <si>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</si>
  <si>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</si>
  <si>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</si>
  <si>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</si>
  <si>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</si>
  <si>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Mileage reimbursement (by federal rate)</t>
  </si>
  <si>
    <t>Total benefits</t>
  </si>
  <si>
    <t>Total pay and benefits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</si>
  <si>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</si>
  <si>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</si>
  <si>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</si>
  <si>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</si>
  <si>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</si>
  <si>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</si>
  <si>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</si>
  <si>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</si>
  <si>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</si>
  <si>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</si>
  <si>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</si>
  <si>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</si>
  <si>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</si>
  <si>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</si>
  <si>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</si>
  <si>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</si>
  <si>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</si>
  <si>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</si>
  <si>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</si>
  <si>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</si>
  <si>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</si>
  <si>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</si>
  <si>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</si>
  <si>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</si>
  <si>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</si>
  <si>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</si>
  <si>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</si>
  <si>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</si>
  <si>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PPE - boots @ $100</t>
  </si>
  <si>
    <t>Gear repair and accessories</t>
  </si>
  <si>
    <t>Replace SCBA air bottles</t>
  </si>
  <si>
    <t>Replacement of Air Packs (incremental)</t>
  </si>
  <si>
    <t>Smoke Machine fluid</t>
  </si>
  <si>
    <t>Miscellaneous job postings</t>
  </si>
  <si>
    <t xml:space="preserve">AT&amp;T </t>
  </si>
  <si>
    <t xml:space="preserve">Stickers with Fire Department Logo </t>
  </si>
  <si>
    <t>Wireless Access for MDC's ($50 each month)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</si>
  <si>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</si>
  <si>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</si>
  <si>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</si>
  <si>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</si>
  <si>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</si>
  <si>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</si>
  <si>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Alpha Pagers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</si>
  <si>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</si>
  <si>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</si>
  <si>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</si>
  <si>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</si>
  <si>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</si>
  <si>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</si>
  <si>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</si>
  <si>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</si>
  <si>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</si>
  <si>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</si>
  <si>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</si>
  <si>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</si>
  <si>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</si>
  <si>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</si>
  <si>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</si>
  <si>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</si>
  <si>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</si>
  <si>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</si>
  <si>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</si>
  <si>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</si>
  <si>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</si>
  <si>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</si>
  <si>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</si>
  <si>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</si>
  <si>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</si>
  <si>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Polo Shirt</t>
  </si>
  <si>
    <t>PART-TIME FIGHTER</t>
  </si>
  <si>
    <t>OFFICE STAFF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</si>
  <si>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</si>
  <si>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</si>
  <si>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</si>
  <si>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</si>
  <si>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</si>
  <si>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</si>
  <si>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BP Cuffs, Splints &amp; Stethoscopes, Etc.</t>
  </si>
  <si>
    <t>Absorbent</t>
  </si>
  <si>
    <t xml:space="preserve">TOTAL 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</si>
  <si>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</si>
  <si>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</si>
  <si>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</si>
  <si>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</si>
  <si>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</si>
  <si>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</si>
  <si>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</si>
  <si>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</si>
  <si>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</si>
  <si>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</si>
  <si>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</si>
  <si>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</si>
  <si>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</si>
  <si>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</si>
  <si>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</si>
  <si>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</si>
  <si>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</si>
  <si>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</si>
  <si>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</si>
  <si>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</si>
  <si>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</si>
  <si>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</si>
  <si>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</si>
  <si>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</si>
  <si>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</si>
  <si>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</si>
  <si>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</si>
  <si>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</si>
  <si>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</si>
  <si>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</si>
  <si>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</si>
  <si>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</si>
  <si>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</si>
  <si>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</si>
  <si>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</si>
  <si>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</si>
  <si>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</si>
  <si>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</si>
  <si>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Meals &amp; Refreshment</t>
  </si>
  <si>
    <t>Map Books</t>
  </si>
  <si>
    <t>Wildland hose</t>
  </si>
  <si>
    <t>Wildland nozzles</t>
  </si>
  <si>
    <t>Wildland tools &amp; accessories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</si>
  <si>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</si>
  <si>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</si>
  <si>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</si>
  <si>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</si>
  <si>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</si>
  <si>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</si>
  <si>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</si>
  <si>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</si>
  <si>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</si>
  <si>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</si>
  <si>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</si>
  <si>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</si>
  <si>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</si>
  <si>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</si>
  <si>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</si>
  <si>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</si>
  <si>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</si>
  <si>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</si>
  <si>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</si>
  <si>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</si>
  <si>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</si>
  <si>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</si>
  <si>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</si>
  <si>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</si>
  <si>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</si>
  <si>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</si>
  <si>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</si>
  <si>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</si>
  <si>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</si>
  <si>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</si>
  <si>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</si>
  <si>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</si>
  <si>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</si>
  <si>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</si>
  <si>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</si>
  <si>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</si>
  <si>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</si>
  <si>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</si>
  <si>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</si>
  <si>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</si>
  <si>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</si>
  <si>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</si>
  <si>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</si>
  <si>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</si>
  <si>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</si>
  <si>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</si>
  <si>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</si>
  <si>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</si>
  <si>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</si>
  <si>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</si>
  <si>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</si>
  <si>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SFFMA </t>
  </si>
  <si>
    <t xml:space="preserve">Flyers/invitations - postage </t>
  </si>
  <si>
    <t>Certified mail</t>
  </si>
  <si>
    <t>Postage due</t>
  </si>
  <si>
    <t>Stamps</t>
  </si>
  <si>
    <t>Package mail</t>
  </si>
  <si>
    <t>Win2003 Cal upgrades and/or licenses</t>
  </si>
  <si>
    <t>Umbrella Liability</t>
  </si>
  <si>
    <t>These amounts are what will actually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</si>
  <si>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</si>
  <si>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</si>
  <si>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</si>
  <si>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</si>
  <si>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</si>
  <si>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</si>
  <si>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</si>
  <si>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</si>
  <si>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</si>
  <si>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</si>
  <si>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</si>
  <si>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</si>
  <si>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</si>
  <si>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</si>
  <si>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</si>
  <si>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</si>
  <si>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</si>
  <si>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</si>
  <si>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</si>
  <si>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</si>
  <si>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</si>
  <si>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</si>
  <si>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</si>
  <si>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</si>
  <si>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</si>
  <si>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</si>
  <si>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</si>
  <si>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and Wildland PPE repair and Cleaning</t>
  </si>
  <si>
    <t>Wells Fargo Bank  - drill tower (July) **</t>
  </si>
  <si>
    <t>Health etc. - employee TAC December - September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</si>
  <si>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</si>
  <si>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</si>
  <si>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</si>
  <si>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</si>
  <si>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</si>
  <si>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</si>
  <si>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</si>
  <si>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EMS Certification School fees (2+ classes)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</si>
  <si>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</si>
  <si>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</si>
  <si>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</si>
  <si>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</si>
  <si>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</si>
  <si>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</si>
  <si>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</si>
  <si>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</si>
  <si>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</si>
  <si>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</si>
  <si>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Live Fire</t>
  </si>
  <si>
    <t>PHTLS/ITLAS class</t>
  </si>
  <si>
    <t>EMS Conference</t>
  </si>
  <si>
    <t>TCFP Facility certifications</t>
  </si>
  <si>
    <t>DSHS First Responder Organization</t>
  </si>
  <si>
    <t>DSHS CE issuing organization</t>
  </si>
  <si>
    <t>DPS license renewals</t>
  </si>
  <si>
    <t>COA Barton Springs Zone Permit (CD station)</t>
  </si>
  <si>
    <t>Replacement flags</t>
  </si>
  <si>
    <t>Safe-D Association</t>
  </si>
  <si>
    <t>Repairs; troubleshoot</t>
  </si>
  <si>
    <t>Annual Report</t>
  </si>
  <si>
    <t>off prob</t>
  </si>
  <si>
    <t>new hire</t>
  </si>
  <si>
    <t>at 53 hrs wk</t>
  </si>
  <si>
    <t>Mileage Reimbursement per Federal standard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</si>
  <si>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</si>
  <si>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</si>
  <si>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</si>
  <si>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</si>
  <si>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</si>
  <si>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>Miscellaneous (Notary etc.)</t>
  </si>
  <si>
    <t>Inspection / Investigation equipment</t>
  </si>
  <si>
    <t xml:space="preserve"> FT hire date</t>
  </si>
  <si>
    <t>DC Training</t>
  </si>
  <si>
    <t>Accident and normal death: $25,000 (VFIS)  FT Paid</t>
  </si>
  <si>
    <t xml:space="preserve">CD Environmental deposit </t>
  </si>
  <si>
    <t>Property tax - current year (will get approx. 99% of certified amount)</t>
  </si>
  <si>
    <t>Instruction hours @ $30 (incl. c/o $4,770)</t>
  </si>
  <si>
    <t>Annual</t>
  </si>
  <si>
    <t>at 40 hr. wk.</t>
  </si>
  <si>
    <t>Salaries cont'd</t>
  </si>
  <si>
    <t xml:space="preserve">Years of Service to TCESD3:  </t>
  </si>
  <si>
    <t>Fire Service Instructor</t>
  </si>
  <si>
    <t>Sales Tax Revenue Consultant</t>
  </si>
  <si>
    <t>PREVENTION</t>
  </si>
  <si>
    <t>Principal &amp; Interest</t>
  </si>
  <si>
    <t xml:space="preserve">Full time employees 457 contribution </t>
  </si>
  <si>
    <r>
      <t xml:space="preserve">be paid out of the </t>
    </r>
    <r>
      <rPr>
        <u/>
        <sz val="10"/>
        <rFont val="Arial Narrow"/>
        <family val="2"/>
      </rPr>
      <t>Bond Debt Service Funds</t>
    </r>
  </si>
  <si>
    <t>3.89, 1.37, .90  2010</t>
  </si>
  <si>
    <t>0.48, 1.37, .90  2010</t>
  </si>
  <si>
    <t>5.16, 1.37, .90  2010</t>
  </si>
  <si>
    <t xml:space="preserve">Workers Comp - firefighters </t>
  </si>
  <si>
    <t>Workers Comp - volunteers</t>
  </si>
  <si>
    <t>Wellness program &amp; infectious disease control (10 based on history)</t>
  </si>
  <si>
    <t>[Actually receive 1.96% of sales.]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</si>
  <si>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</si>
  <si>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</si>
  <si>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</si>
  <si>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</si>
  <si>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</si>
  <si>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Number</t>
  </si>
  <si>
    <t>A percentage of our property tax is paid into the Debt Service Funds each month</t>
  </si>
  <si>
    <t>Bills (principal &amp; interest: debt retirement) are paid out of the DSF accounts twice per year only.</t>
  </si>
  <si>
    <t>485, 87, 90, 99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</si>
  <si>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</si>
  <si>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</si>
  <si>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</si>
  <si>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</si>
  <si>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</si>
  <si>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</si>
  <si>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Short Term disability - base x 31 FT</t>
  </si>
  <si>
    <t>Paychex delivery fees (4) plus  Lone Star</t>
  </si>
  <si>
    <t>SUI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</si>
  <si>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</si>
  <si>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</si>
  <si>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</si>
  <si>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</si>
  <si>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</si>
  <si>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PP's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</si>
  <si>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</si>
  <si>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</si>
  <si>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</si>
  <si>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</si>
  <si>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</si>
  <si>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</si>
  <si>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Professional Association memberships</t>
  </si>
  <si>
    <t>FEMA Match (vehicle)</t>
  </si>
  <si>
    <t>Estimate 2011</t>
  </si>
  <si>
    <t>Central Texas Fire Investigators</t>
  </si>
  <si>
    <t>SOT x 26</t>
  </si>
  <si>
    <t>TML - return of equity from past years</t>
  </si>
  <si>
    <t>Family picnic</t>
  </si>
  <si>
    <t>TML return of equity from past years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</si>
  <si>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</si>
  <si>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</si>
  <si>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</si>
  <si>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</si>
  <si>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</si>
  <si>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</si>
  <si>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</si>
  <si>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</si>
  <si>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</si>
  <si>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</si>
  <si>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</si>
  <si>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</si>
  <si>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</si>
  <si>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</si>
  <si>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</si>
  <si>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DO P. Elkins</t>
  </si>
  <si>
    <t>Longevity</t>
  </si>
  <si>
    <t>Workers Com - instructors</t>
  </si>
  <si>
    <t xml:space="preserve">Based on recent usage </t>
  </si>
  <si>
    <t>Approx. Based on current year instructor use</t>
  </si>
  <si>
    <t xml:space="preserve">Instructor Pay </t>
  </si>
  <si>
    <t>Workers Comp - admin</t>
  </si>
  <si>
    <t>Workers Comp - instructors</t>
  </si>
  <si>
    <t>632: 15,000, 634: 57,000, 635  16,500</t>
  </si>
  <si>
    <t>Red font:  do not participate in 457</t>
  </si>
  <si>
    <t>instructor pay</t>
  </si>
  <si>
    <t>Workers Comp - commissioners</t>
  </si>
  <si>
    <t>3.23, 1.07, 0.8</t>
  </si>
  <si>
    <t>0.44, 1.07, 0.8</t>
  </si>
  <si>
    <t>5.68, 1.07, 0.8</t>
  </si>
  <si>
    <t>0.43, 1.07, 0.8</t>
  </si>
  <si>
    <t>0.39, 1.07, 0.8</t>
  </si>
  <si>
    <t>Locution Station Alerting License &amp; Hardware maint.</t>
  </si>
  <si>
    <t>Sweatshirts</t>
  </si>
  <si>
    <t>TCFP Annual certifications  (40 @ $85)</t>
  </si>
  <si>
    <t>Department team-sponsorship</t>
  </si>
  <si>
    <t>Septic inspection and maintenance CD</t>
  </si>
  <si>
    <t>AC filter grates for CD</t>
  </si>
  <si>
    <t>painting drill tower exterior handrails</t>
  </si>
  <si>
    <t>National Assoc. of EMS Educators (NAEMS)</t>
  </si>
  <si>
    <r>
      <t xml:space="preserve">Health Ins. - full time only - </t>
    </r>
    <r>
      <rPr>
        <sz val="9"/>
        <rFont val="Arial Narrow"/>
        <family val="2"/>
      </rPr>
      <t>32 employees</t>
    </r>
    <r>
      <rPr>
        <sz val="8"/>
        <rFont val="Arial Narrow"/>
        <family val="2"/>
      </rPr>
      <t xml:space="preserve"> (includes reimbursement from employees)</t>
    </r>
  </si>
  <si>
    <t>Revenue Rescue (&amp; other billing)</t>
  </si>
  <si>
    <t>hourly annual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</si>
  <si>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</si>
  <si>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</si>
  <si>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</si>
  <si>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</si>
  <si>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</si>
  <si>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</si>
  <si>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</si>
  <si>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</si>
  <si>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</si>
  <si>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 xml:space="preserve">Chief </t>
  </si>
  <si>
    <t xml:space="preserve">Estimate of part time </t>
  </si>
  <si>
    <t>per hour pay</t>
  </si>
  <si>
    <t>years</t>
  </si>
  <si>
    <t>Rate, experience modifier, discount</t>
  </si>
  <si>
    <t>do not change figures - they will change with payroll figures</t>
  </si>
  <si>
    <t>Texas SUI  @ $56.7 x 32+ allowance $2,186 for PT</t>
  </si>
  <si>
    <t>Accident &amp; Sickness &amp; life - VFIS/CAFCA</t>
  </si>
  <si>
    <t>figure will auto change with payroll</t>
  </si>
  <si>
    <t>Quick Book Checks  (1000)</t>
  </si>
  <si>
    <t>DSHS EMS Coordinator</t>
  </si>
  <si>
    <t>JW</t>
  </si>
  <si>
    <t>Misc. grant matching (LCRA/PEC, Motorola, etc.)</t>
  </si>
  <si>
    <t>Trauma supplies</t>
  </si>
  <si>
    <t>EMS Training (advanced)</t>
  </si>
  <si>
    <t>FY 2012</t>
  </si>
  <si>
    <t>Volunteers based on approximately 1000 hours at $11.00 per hour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</si>
  <si>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</si>
  <si>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</si>
  <si>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</si>
  <si>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</si>
  <si>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</si>
  <si>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Portable Cascade Hydro</t>
  </si>
  <si>
    <t>RIC Bags</t>
  </si>
  <si>
    <t>Budget Amendment</t>
  </si>
  <si>
    <t>Extrication Tool Replacement</t>
  </si>
  <si>
    <t>Business Manager</t>
  </si>
  <si>
    <t>Accountability tags</t>
  </si>
  <si>
    <t>Structural Boots</t>
  </si>
  <si>
    <t>Structural helmets face shields</t>
  </si>
  <si>
    <t>Structural Helmets with leather fronts</t>
  </si>
  <si>
    <t>Structural Nomex hoods</t>
  </si>
  <si>
    <t>Structural Turnout Coats</t>
  </si>
  <si>
    <t>Structural turnout gloves</t>
  </si>
  <si>
    <t>Structural Turnout Pants</t>
  </si>
  <si>
    <t>Structural Turnout suspenders</t>
  </si>
  <si>
    <t>Wildland Goggles</t>
  </si>
  <si>
    <t>Wildland Helmets</t>
  </si>
  <si>
    <t>Wildland Shelters</t>
  </si>
  <si>
    <t>Wildland Turnout Coats</t>
  </si>
  <si>
    <t>Wildland turnout gloves</t>
  </si>
  <si>
    <t>Wildland Turnout Pants</t>
  </si>
  <si>
    <t>Traffic Vests</t>
  </si>
  <si>
    <t>Based on recent usage</t>
  </si>
  <si>
    <t>SF, SB, RB</t>
  </si>
  <si>
    <t>Member/Commissioner Meetings</t>
  </si>
  <si>
    <t>CATRAC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</si>
  <si>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</si>
  <si>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</si>
  <si>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</si>
  <si>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</si>
  <si>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</si>
  <si>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</si>
  <si>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National Registry Recertification</t>
  </si>
  <si>
    <t>Cell phones</t>
  </si>
  <si>
    <t>Debt Service 2013 bonds</t>
  </si>
  <si>
    <t>Print Shop (forms, etc.)</t>
  </si>
  <si>
    <t>Fire Sprinkler Annual Inspection</t>
  </si>
  <si>
    <t>incl</t>
  </si>
  <si>
    <t>Fire Alarm monitoring</t>
  </si>
  <si>
    <t>Short term disability for 32 FT Paid (Colonial)</t>
  </si>
  <si>
    <t>VEHICLES  (includes apparatus)</t>
  </si>
  <si>
    <t>Records Management System expansion</t>
  </si>
  <si>
    <t>SOURCE OF REVENUE</t>
  </si>
  <si>
    <t>REVENUE</t>
  </si>
  <si>
    <t>Cert</t>
  </si>
  <si>
    <t>Long</t>
  </si>
  <si>
    <t>Wellness Program (Physicals &amp; Workout Equipment)</t>
  </si>
  <si>
    <t>moved to Office Supplies</t>
  </si>
  <si>
    <t>Assorted general supplies (Home Depot, Lowes)</t>
  </si>
  <si>
    <t>Fire Extinguisher re-charging for each station</t>
  </si>
  <si>
    <t>TriState Cleaning Supplies</t>
  </si>
  <si>
    <t>Vacuum cleaners</t>
  </si>
  <si>
    <t xml:space="preserve">Online Back-up 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</si>
  <si>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</si>
  <si>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</si>
  <si>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</si>
  <si>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</si>
  <si>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</si>
  <si>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</si>
  <si>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</si>
  <si>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International Association Fire Chiefs</t>
  </si>
  <si>
    <t>Texas Fire Marshal's Association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</si>
  <si>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</si>
  <si>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</si>
  <si>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</si>
  <si>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</si>
  <si>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</si>
  <si>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</si>
  <si>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Upgrade TIC on Qnt302 and Eng303</t>
  </si>
  <si>
    <t>SUNSET VALLEY REIMBURSEMENT</t>
  </si>
  <si>
    <t xml:space="preserve">VEHICLE MAINTENANCE &amp; REPAIR      </t>
  </si>
  <si>
    <t>EMS SUPPLIES</t>
  </si>
  <si>
    <t>UNIFORMS &amp; PROTECTIVE GEAR</t>
  </si>
  <si>
    <t>Misc. Supplies- Penlights, Scissors, Etc.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</si>
  <si>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</si>
  <si>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</si>
  <si>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</si>
  <si>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</si>
  <si>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</si>
  <si>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</si>
  <si>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TCFP Certification Classes (Inst, Ofcr, DO, etc)</t>
  </si>
  <si>
    <t>Swift water tech refresher</t>
  </si>
  <si>
    <t>NFA courses</t>
  </si>
  <si>
    <t>See TCFP</t>
  </si>
  <si>
    <t>Technical Rescue</t>
  </si>
  <si>
    <t>See Tech Res</t>
  </si>
  <si>
    <t>EMS Continuing Education</t>
  </si>
  <si>
    <t>See EMS CE</t>
  </si>
  <si>
    <t>Training Field Materials &amp; Supplies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</si>
  <si>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</si>
  <si>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</si>
  <si>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</si>
  <si>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</si>
  <si>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</si>
  <si>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</si>
  <si>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</si>
  <si>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</si>
  <si>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</si>
  <si>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</si>
  <si>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</si>
  <si>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</si>
  <si>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</si>
  <si>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RMS software annual maintenance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</si>
  <si>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</si>
  <si>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</si>
  <si>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</si>
  <si>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</si>
  <si>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</si>
  <si>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</si>
  <si>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</si>
  <si>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</si>
  <si>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</si>
  <si>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</si>
  <si>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Fire Hydrant Inspection</t>
  </si>
  <si>
    <t>NFPA Online Code (subscription)</t>
  </si>
  <si>
    <t>E-mail hosting</t>
  </si>
  <si>
    <t>Heat - Barton Creek - Natural Gas</t>
  </si>
  <si>
    <t>Heat &amp; Drill Field (Training) - Circle Drive - Propane</t>
  </si>
  <si>
    <t>Open House supplies</t>
  </si>
  <si>
    <t>US Bank - copiers</t>
  </si>
  <si>
    <t>Capital apparatus/equipment purchases ***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</si>
  <si>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</si>
  <si>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</si>
  <si>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</si>
  <si>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</si>
  <si>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</si>
  <si>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Gas Monitor Maintenance Agreement</t>
  </si>
  <si>
    <t>Occupational Health Testing</t>
  </si>
  <si>
    <t>to Pub Ed</t>
  </si>
  <si>
    <t>FF 2016</t>
  </si>
  <si>
    <t>DO 2016</t>
  </si>
  <si>
    <t>LT 2016</t>
  </si>
  <si>
    <t>CAP 2016</t>
  </si>
  <si>
    <t>Collar Microphones</t>
  </si>
  <si>
    <t>Annual SCBA Flow Test 30 @ $35</t>
  </si>
  <si>
    <t>SCBA Mask Fit Test 35 @ $29</t>
  </si>
  <si>
    <t>Scott SCBA masks - 4 @ $255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</si>
  <si>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</si>
  <si>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</si>
  <si>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</si>
  <si>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</si>
  <si>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</si>
  <si>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Training Buildings and Props</t>
  </si>
  <si>
    <t>Highrise Conference</t>
  </si>
  <si>
    <t>Station 301 kitchen remodel</t>
  </si>
  <si>
    <t>Folding Water Tank</t>
  </si>
  <si>
    <t>Scout Project Support for Grounds Improvements</t>
  </si>
  <si>
    <t>PPE</t>
  </si>
  <si>
    <t>Capt R. Bergman</t>
  </si>
  <si>
    <t>TIFMAS Symposium</t>
  </si>
  <si>
    <t>JW, SB, JP</t>
  </si>
  <si>
    <t>Elected Official Bond (Treasurer)</t>
  </si>
  <si>
    <t>Community Event Mailer, 2 times per year</t>
  </si>
  <si>
    <t>Rescue / Extrication Gloves</t>
  </si>
  <si>
    <t>2020: Drill Tower Inspection ~$5,000</t>
  </si>
  <si>
    <t>TCFP Initial Certifications (20@85)</t>
  </si>
  <si>
    <t>Fire Sprinkler System Expansion</t>
  </si>
  <si>
    <t>General Supplies</t>
  </si>
  <si>
    <t>Mobile Computing (EMS Reporting)</t>
  </si>
  <si>
    <t>Internet Connectivity Hardware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</si>
  <si>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</si>
  <si>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</si>
  <si>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</si>
  <si>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</si>
  <si>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</si>
  <si>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</si>
  <si>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</si>
  <si>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</si>
  <si>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</si>
  <si>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</si>
  <si>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</si>
  <si>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DO C. Ford</t>
  </si>
  <si>
    <t>increase</t>
  </si>
  <si>
    <t>Capt A. Lyngaas</t>
  </si>
  <si>
    <t>Vending machines</t>
  </si>
  <si>
    <t>BENEFITS</t>
  </si>
  <si>
    <t>FF 2017</t>
  </si>
  <si>
    <t>DO 2017</t>
  </si>
  <si>
    <t>LT 2017</t>
  </si>
  <si>
    <t>CAP 2017</t>
  </si>
  <si>
    <t>i</t>
  </si>
  <si>
    <t>5 commissioners, 16 meetings</t>
  </si>
  <si>
    <t>*** 1 Replacement Engine</t>
  </si>
  <si>
    <t>EMT Certification Courses</t>
  </si>
  <si>
    <t>Fire Academy</t>
  </si>
  <si>
    <t>Rehab Supplies</t>
  </si>
  <si>
    <t>EMS Supplies</t>
  </si>
  <si>
    <t>Trunked Radio User Fee @ $23.37 per radio/month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</si>
  <si>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</si>
  <si>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</si>
  <si>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</si>
  <si>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</si>
  <si>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Master's Degree</t>
  </si>
  <si>
    <t>Bachelor's Degree</t>
  </si>
  <si>
    <t>Associate's Degree</t>
  </si>
  <si>
    <t>Operational Rates of Pay</t>
  </si>
  <si>
    <t>Commissioners + JW</t>
  </si>
  <si>
    <t>Officers</t>
  </si>
  <si>
    <t>RH + 4 Ops</t>
  </si>
  <si>
    <t xml:space="preserve">Professional Development (Officers) </t>
  </si>
  <si>
    <t>Miscellaneous Seminars</t>
  </si>
  <si>
    <t>Fire Department Instructors' Conference (FDIC)</t>
  </si>
  <si>
    <t>T-Shirt</t>
  </si>
  <si>
    <t>T-Shirts</t>
  </si>
  <si>
    <t>Scott SCBA Mask with embedded TIC</t>
  </si>
  <si>
    <t>Blue Card Command Trng (Drivers, Officers, Chiefs)</t>
  </si>
  <si>
    <t>Building &amp; Props Refurbishment</t>
  </si>
  <si>
    <t>Painting Station 301</t>
  </si>
  <si>
    <t>Admin Asst (PT)</t>
  </si>
  <si>
    <t>Modify TIFMAS Vehicle (brackets, etc.)</t>
  </si>
  <si>
    <t>Fire Hose Tester (pump)</t>
  </si>
  <si>
    <t>New Engine Equipment (Misc Tools &amp; Equipment)</t>
  </si>
  <si>
    <t>Motorola APX Multi-Band Portable Radios</t>
  </si>
  <si>
    <t>JW + 3 Ops</t>
  </si>
  <si>
    <t>Administration fees - bond debt - Wells Fargo</t>
  </si>
  <si>
    <t>Audit - CPA</t>
  </si>
  <si>
    <t>Shift rate per hour</t>
  </si>
  <si>
    <t>Admin rate per hour</t>
  </si>
  <si>
    <t>Budgetary Estimate</t>
  </si>
  <si>
    <t>Debt Service Interest</t>
  </si>
  <si>
    <t>APX Mobile Radios (New ENG301, QNT302)</t>
  </si>
  <si>
    <t>Hourly Rate</t>
  </si>
  <si>
    <t>JW, RH, JP, HH</t>
  </si>
  <si>
    <t>Approved FY2017 Budget</t>
  </si>
  <si>
    <t>FF 2018</t>
  </si>
  <si>
    <t>DO 2018</t>
  </si>
  <si>
    <t>LT 2018</t>
  </si>
  <si>
    <t>CAP 2018</t>
  </si>
  <si>
    <t>LONGEVITY INCENTIVE - Effective 10/01/2018</t>
  </si>
  <si>
    <t>EMS Field Training Officer</t>
  </si>
  <si>
    <t>RH</t>
  </si>
  <si>
    <r>
      <t xml:space="preserve">Accident &amp; Sickness Insurance: CAFCA </t>
    </r>
    <r>
      <rPr>
        <u/>
        <sz val="11"/>
        <rFont val="Arial Narrow"/>
        <family val="2"/>
      </rPr>
      <t xml:space="preserve">Paid </t>
    </r>
    <r>
      <rPr>
        <sz val="11"/>
        <rFont val="Arial Narrow"/>
        <family val="2"/>
      </rPr>
      <t>(VFIS)**</t>
    </r>
  </si>
  <si>
    <r>
      <t xml:space="preserve">Accident &amp; Sickness Insurance: CAFCA </t>
    </r>
    <r>
      <rPr>
        <u/>
        <sz val="11"/>
        <rFont val="Arial Narrow"/>
        <family val="2"/>
      </rPr>
      <t>Vols</t>
    </r>
    <r>
      <rPr>
        <sz val="11"/>
        <rFont val="Arial Narrow"/>
        <family val="2"/>
      </rPr>
      <t xml:space="preserve"> (VFIS)</t>
    </r>
  </si>
  <si>
    <r>
      <t xml:space="preserve">SAFE-D </t>
    </r>
    <r>
      <rPr>
        <sz val="11"/>
        <rFont val="Arial Narrow"/>
        <family val="2"/>
      </rPr>
      <t>Conference</t>
    </r>
  </si>
  <si>
    <t>* lease completed March 2nd 2016</t>
  </si>
  <si>
    <t>** lease paid off early July 2016</t>
  </si>
  <si>
    <t>MDC Replacement (older units)</t>
  </si>
  <si>
    <t>Active 911 Alerting System</t>
  </si>
  <si>
    <t>Meeting Supplies - officers, admin, commissioners, etc.</t>
  </si>
  <si>
    <t>IAFC Fire Rescue International (Dallas, TX 2018)</t>
  </si>
  <si>
    <t>LODD Conference (online streaming)</t>
  </si>
  <si>
    <t>Station 301 lighting system replacement (LEDs)</t>
  </si>
  <si>
    <t>Website design &amp; maintenance</t>
  </si>
  <si>
    <t>CrewSense Online Scheduling System</t>
  </si>
  <si>
    <t>Microsoft Office Software Subscription</t>
  </si>
  <si>
    <t>Email Spam Filter (Barracuda Essentials)</t>
  </si>
  <si>
    <t>Mobile Radios (Remaining Truck Replacements)</t>
  </si>
  <si>
    <t>TFCA Fire Chiefs Workshop</t>
  </si>
  <si>
    <t>Warehouse Club memberships</t>
  </si>
  <si>
    <t>TecGen Response Clothing</t>
  </si>
  <si>
    <t>Forcible Entry Prop</t>
  </si>
  <si>
    <t>Cylinder Hydro ($35 each)</t>
  </si>
  <si>
    <t>SCBA replacement bottles ($1000 each)</t>
  </si>
  <si>
    <t>Cascade System for ST302</t>
  </si>
  <si>
    <t>Apparatus Fire Extinguishers</t>
  </si>
  <si>
    <t>Replace manifold</t>
  </si>
  <si>
    <t>CHIEFS</t>
  </si>
  <si>
    <t>RH + 3 FTOs</t>
  </si>
  <si>
    <t>1 BC + 3 Ops</t>
  </si>
  <si>
    <t>JW + 1 BC + 2 Ops</t>
  </si>
  <si>
    <t>Live Fire PPE rental (cadets &amp; main instructors)</t>
  </si>
  <si>
    <t>Decontamination Equipment</t>
  </si>
  <si>
    <t>Aluminum Hose Bed</t>
  </si>
  <si>
    <t>Drill Field Maintenance</t>
  </si>
  <si>
    <t>Classroom Maintenance &amp; Equipment Replacement</t>
  </si>
  <si>
    <t>Wire charges / transfers</t>
  </si>
  <si>
    <t>Legal consultants - KC, JO</t>
  </si>
  <si>
    <t>LT K. Grieser</t>
  </si>
  <si>
    <t>DO A. Lee</t>
  </si>
  <si>
    <t>457 (b) Plan - full time employees only 14% (2:1)</t>
  </si>
  <si>
    <t>10% 1:1 match</t>
  </si>
  <si>
    <t>BC R. Hartigan</t>
  </si>
  <si>
    <t>BC J. Patton</t>
  </si>
  <si>
    <t>LT J. Ramsdell</t>
  </si>
  <si>
    <t>Training Coordinator (FT)</t>
  </si>
  <si>
    <t>50th Anniversary Items</t>
  </si>
  <si>
    <t>Automated External Defibrillators</t>
  </si>
  <si>
    <t>JW, RH, JP, new</t>
  </si>
  <si>
    <t>Newspaper Public Notices re Tax Rate Aug/Sep</t>
  </si>
  <si>
    <t>Small Taxing Unit General Election (SB 1)</t>
  </si>
  <si>
    <t>Pump Simulator</t>
  </si>
  <si>
    <t>Outdoor Dual-Sided Electronic Sign for Station 301</t>
  </si>
  <si>
    <t>Bat Chief</t>
  </si>
  <si>
    <t>BC 2016</t>
  </si>
  <si>
    <t>BC 2017</t>
  </si>
  <si>
    <t>BC 2018</t>
  </si>
  <si>
    <t>N/A</t>
  </si>
  <si>
    <t>Approved FY2018 Budget</t>
  </si>
  <si>
    <t>Revenue to Expense Difference</t>
  </si>
  <si>
    <t>LT J. Martinez</t>
  </si>
  <si>
    <t>DO R. Lemke</t>
  </si>
  <si>
    <t>DO B. Flood</t>
  </si>
  <si>
    <t>FF T. Koiro</t>
  </si>
  <si>
    <t>FF S. Caudle</t>
  </si>
  <si>
    <t>FF D. Davis</t>
  </si>
  <si>
    <t>FF J. Beard</t>
  </si>
  <si>
    <t>FF J. Hester</t>
  </si>
  <si>
    <t>FF A. Hoffman</t>
  </si>
  <si>
    <t>FF G. Schmitz</t>
  </si>
  <si>
    <t>FF L. Dawson</t>
  </si>
  <si>
    <t>FF J. Napier</t>
  </si>
  <si>
    <t>FF R. vanHee</t>
  </si>
  <si>
    <t>FF J. Bowen</t>
  </si>
  <si>
    <t>FF R. Hensley</t>
  </si>
  <si>
    <t>FF W. Hunn</t>
  </si>
  <si>
    <t>FF S. Gay</t>
  </si>
  <si>
    <t>BC J. Torres</t>
  </si>
  <si>
    <t>Capt S. Barfield</t>
  </si>
  <si>
    <t>FF J. Raatz</t>
  </si>
  <si>
    <t>FF C. 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</si>
</sst>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m/d/yyyy;@"/>
    <numFmt numFmtId="167" formatCode="#,##0.0_);[Red]\(#,##0.0\)"/>
    <numFmt numFmtId="168" formatCode="0.0%"/>
  </numFmts>
  <fonts count="6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name val="Arial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i/>
      <sz val="9"/>
      <name val="Arial Narrow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i/>
      <sz val="9"/>
      <name val="Arial"/>
      <family val="2"/>
    </font>
    <font>
      <sz val="36"/>
      <name val="Arial"/>
      <family val="2"/>
    </font>
    <font>
      <b/>
      <sz val="10"/>
      <color theme="4"/>
      <name val="Arial Narrow"/>
      <family val="2"/>
    </font>
    <font>
      <sz val="14"/>
      <name val="Arial Narrow"/>
      <family val="2"/>
    </font>
    <font>
      <strike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70C0"/>
      <name val="Arial Narrow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u val="singleAccounting"/>
      <sz val="11"/>
      <name val="Arial Narrow"/>
      <family val="2"/>
    </font>
    <font>
      <b/>
      <sz val="11"/>
      <color rgb="FF0070C0"/>
      <name val="Arial Narrow"/>
      <family val="2"/>
    </font>
    <font>
      <b/>
      <u/>
      <sz val="1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1021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7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Fill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44" fontId="3" fillId="0" borderId="0" xfId="1" applyFont="1" applyBorder="1"/>
    <xf numFmtId="44" fontId="0" fillId="0" borderId="0" xfId="0" applyNumberFormat="1"/>
    <xf numFmtId="0" fontId="12" fillId="0" borderId="0" xfId="0" applyFont="1" applyBorder="1" applyAlignment="1">
      <alignment horizontal="left"/>
    </xf>
    <xf numFmtId="0" fontId="0" fillId="0" borderId="0" xfId="0" quotePrefix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8" fillId="0" borderId="13" xfId="0" applyFont="1" applyFill="1" applyBorder="1" applyAlignment="1">
      <alignment horizontal="left"/>
    </xf>
    <xf numFmtId="0" fontId="21" fillId="0" borderId="0" xfId="0" applyFont="1" applyBorder="1"/>
    <xf numFmtId="44" fontId="4" fillId="0" borderId="16" xfId="1" applyFont="1" applyBorder="1"/>
    <xf numFmtId="0" fontId="9" fillId="0" borderId="0" xfId="0" applyFont="1"/>
    <xf numFmtId="0" fontId="0" fillId="0" borderId="0" xfId="0" applyNumberFormat="1" applyAlignment="1">
      <alignment horizontal="center"/>
    </xf>
    <xf numFmtId="0" fontId="15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4" fontId="15" fillId="0" borderId="16" xfId="1" applyFont="1" applyBorder="1"/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44" fontId="12" fillId="0" borderId="16" xfId="1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4" fontId="12" fillId="0" borderId="0" xfId="0" applyNumberFormat="1" applyFont="1" applyBorder="1"/>
    <xf numFmtId="0" fontId="17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7" fillId="0" borderId="0" xfId="0" applyFont="1" applyBorder="1"/>
    <xf numFmtId="0" fontId="12" fillId="0" borderId="22" xfId="0" applyFont="1" applyBorder="1" applyAlignment="1">
      <alignment horizontal="left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left"/>
    </xf>
    <xf numFmtId="0" fontId="15" fillId="0" borderId="16" xfId="0" applyFont="1" applyBorder="1" applyAlignment="1">
      <alignment horizontal="center"/>
    </xf>
    <xf numFmtId="0" fontId="12" fillId="0" borderId="20" xfId="0" applyFont="1" applyBorder="1"/>
    <xf numFmtId="44" fontId="12" fillId="0" borderId="16" xfId="1" applyNumberFormat="1" applyFont="1" applyBorder="1"/>
    <xf numFmtId="0" fontId="12" fillId="0" borderId="16" xfId="0" applyFont="1" applyBorder="1"/>
    <xf numFmtId="0" fontId="22" fillId="0" borderId="16" xfId="0" applyFont="1" applyBorder="1" applyAlignment="1">
      <alignment horizontal="left"/>
    </xf>
    <xf numFmtId="44" fontId="9" fillId="0" borderId="16" xfId="0" applyNumberFormat="1" applyFont="1" applyBorder="1"/>
    <xf numFmtId="0" fontId="9" fillId="0" borderId="16" xfId="0" applyFont="1" applyBorder="1" applyAlignment="1"/>
    <xf numFmtId="44" fontId="9" fillId="0" borderId="16" xfId="0" applyNumberFormat="1" applyFont="1" applyFill="1" applyBorder="1"/>
    <xf numFmtId="0" fontId="15" fillId="0" borderId="0" xfId="0" applyFont="1"/>
    <xf numFmtId="0" fontId="15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0" fontId="12" fillId="0" borderId="19" xfId="0" applyFont="1" applyBorder="1"/>
    <xf numFmtId="0" fontId="15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2" fillId="0" borderId="16" xfId="0" applyFont="1" applyBorder="1" applyAlignment="1"/>
    <xf numFmtId="0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28" xfId="0" applyNumberFormat="1" applyFont="1" applyFill="1" applyBorder="1" applyAlignment="1">
      <alignment horizontal="center"/>
    </xf>
    <xf numFmtId="0" fontId="9" fillId="0" borderId="29" xfId="0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44" fontId="5" fillId="3" borderId="25" xfId="1" applyFont="1" applyFill="1" applyBorder="1"/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0" fontId="15" fillId="0" borderId="0" xfId="0" applyFont="1" applyBorder="1" applyAlignment="1"/>
    <xf numFmtId="0" fontId="15" fillId="3" borderId="25" xfId="0" applyFont="1" applyFill="1" applyBorder="1" applyAlignment="1">
      <alignment horizontal="center"/>
    </xf>
    <xf numFmtId="0" fontId="9" fillId="0" borderId="0" xfId="0" applyFont="1" applyBorder="1"/>
    <xf numFmtId="0" fontId="18" fillId="0" borderId="0" xfId="0" applyFont="1" applyBorder="1"/>
    <xf numFmtId="44" fontId="18" fillId="3" borderId="25" xfId="1" applyFont="1" applyFill="1" applyBorder="1"/>
    <xf numFmtId="0" fontId="15" fillId="0" borderId="0" xfId="0" applyFont="1" applyBorder="1" applyAlignment="1">
      <alignment horizontal="left"/>
    </xf>
    <xf numFmtId="0" fontId="3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44" fontId="12" fillId="0" borderId="19" xfId="1" applyFont="1" applyBorder="1"/>
    <xf numFmtId="0" fontId="12" fillId="0" borderId="46" xfId="0" applyFont="1" applyBorder="1" applyAlignment="1">
      <alignment horizontal="center"/>
    </xf>
    <xf numFmtId="0" fontId="17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0" applyNumberFormat="1" applyFont="1" applyBorder="1"/>
    <xf numFmtId="44" fontId="12" fillId="0" borderId="16" xfId="0" applyNumberFormat="1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2" fillId="0" borderId="0" xfId="0" applyFont="1"/>
    <xf numFmtId="44" fontId="12" fillId="0" borderId="21" xfId="0" applyNumberFormat="1" applyFont="1" applyBorder="1"/>
    <xf numFmtId="0" fontId="12" fillId="0" borderId="46" xfId="0" applyFont="1" applyBorder="1"/>
    <xf numFmtId="0" fontId="26" fillId="0" borderId="16" xfId="1" applyNumberFormat="1" applyFont="1" applyBorder="1" applyAlignment="1">
      <alignment horizontal="center"/>
    </xf>
    <xf numFmtId="0" fontId="25" fillId="0" borderId="16" xfId="0" applyFont="1" applyBorder="1"/>
    <xf numFmtId="0" fontId="25" fillId="0" borderId="16" xfId="0" applyFont="1" applyBorder="1" applyAlignment="1">
      <alignment horizontal="left"/>
    </xf>
    <xf numFmtId="0" fontId="27" fillId="0" borderId="16" xfId="0" applyFont="1" applyBorder="1" applyAlignment="1">
      <alignment horizontal="center"/>
    </xf>
    <xf numFmtId="44" fontId="27" fillId="0" borderId="16" xfId="1" applyFont="1" applyBorder="1" applyAlignment="1">
      <alignment horizontal="center"/>
    </xf>
    <xf numFmtId="44" fontId="27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44" fontId="12" fillId="0" borderId="46" xfId="0" applyNumberFormat="1" applyFont="1" applyBorder="1" applyAlignment="1">
      <alignment horizontal="center"/>
    </xf>
    <xf numFmtId="0" fontId="26" fillId="0" borderId="0" xfId="0" applyFont="1" applyBorder="1"/>
    <xf numFmtId="0" fontId="22" fillId="0" borderId="16" xfId="0" applyFont="1" applyBorder="1" applyAlignment="1"/>
    <xf numFmtId="0" fontId="27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29" fillId="0" borderId="0" xfId="0" applyFont="1"/>
    <xf numFmtId="44" fontId="17" fillId="0" borderId="16" xfId="1" applyNumberFormat="1" applyFont="1" applyBorder="1" applyAlignment="1">
      <alignment horizontal="center"/>
    </xf>
    <xf numFmtId="44" fontId="12" fillId="0" borderId="51" xfId="0" applyNumberFormat="1" applyFont="1" applyBorder="1" applyAlignment="1">
      <alignment horizontal="center"/>
    </xf>
    <xf numFmtId="44" fontId="26" fillId="0" borderId="16" xfId="1" applyNumberFormat="1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0" fontId="9" fillId="0" borderId="43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0" fontId="21" fillId="0" borderId="0" xfId="0" applyFont="1" applyAlignment="1">
      <alignment horizontal="center" vertical="center"/>
    </xf>
    <xf numFmtId="42" fontId="9" fillId="2" borderId="2" xfId="0" applyNumberFormat="1" applyFont="1" applyFill="1" applyBorder="1"/>
    <xf numFmtId="42" fontId="9" fillId="2" borderId="12" xfId="0" applyNumberFormat="1" applyFont="1" applyFill="1" applyBorder="1"/>
    <xf numFmtId="42" fontId="9" fillId="2" borderId="33" xfId="0" applyNumberFormat="1" applyFont="1" applyFill="1" applyBorder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38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3" fillId="0" borderId="61" xfId="0" applyFont="1" applyBorder="1" applyAlignment="1">
      <alignment horizontal="left" vertical="center"/>
    </xf>
    <xf numFmtId="0" fontId="0" fillId="0" borderId="37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44" xfId="0" applyBorder="1" applyAlignment="1">
      <alignment vertical="center"/>
    </xf>
    <xf numFmtId="0" fontId="6" fillId="0" borderId="44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44" xfId="0" applyFont="1" applyBorder="1" applyAlignment="1">
      <alignment horizontal="right" vertical="center"/>
    </xf>
    <xf numFmtId="0" fontId="0" fillId="0" borderId="49" xfId="0" applyBorder="1"/>
    <xf numFmtId="0" fontId="13" fillId="4" borderId="26" xfId="0" applyFon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68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68" xfId="0" applyNumberFormat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0" fontId="12" fillId="0" borderId="16" xfId="0" applyFont="1" applyFill="1" applyBorder="1" applyAlignment="1">
      <alignment vertical="top" wrapText="1"/>
    </xf>
    <xf numFmtId="0" fontId="8" fillId="0" borderId="0" xfId="2"/>
    <xf numFmtId="0" fontId="8" fillId="0" borderId="0" xfId="2" applyBorder="1"/>
    <xf numFmtId="0" fontId="9" fillId="0" borderId="0" xfId="2" applyFont="1" applyBorder="1" applyAlignment="1">
      <alignment textRotation="44"/>
    </xf>
    <xf numFmtId="0" fontId="9" fillId="0" borderId="0" xfId="2" applyFont="1" applyBorder="1"/>
    <xf numFmtId="165" fontId="8" fillId="0" borderId="0" xfId="2" applyNumberFormat="1" applyBorder="1" applyAlignment="1">
      <alignment horizontal="center"/>
    </xf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/>
    <xf numFmtId="165" fontId="8" fillId="0" borderId="0" xfId="2" applyNumberFormat="1" applyBorder="1"/>
    <xf numFmtId="164" fontId="8" fillId="0" borderId="0" xfId="2" applyNumberFormat="1" applyBorder="1"/>
    <xf numFmtId="165" fontId="8" fillId="0" borderId="0" xfId="2" applyNumberFormat="1" applyFill="1" applyBorder="1"/>
    <xf numFmtId="0" fontId="8" fillId="0" borderId="70" xfId="0" applyNumberFormat="1" applyFont="1" applyBorder="1" applyAlignment="1">
      <alignment horizontal="center"/>
    </xf>
    <xf numFmtId="0" fontId="14" fillId="0" borderId="71" xfId="0" applyFont="1" applyBorder="1" applyAlignment="1">
      <alignment horizontal="left"/>
    </xf>
    <xf numFmtId="44" fontId="22" fillId="0" borderId="1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Border="1"/>
    <xf numFmtId="0" fontId="16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1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3" borderId="25" xfId="0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17" fillId="0" borderId="20" xfId="0" applyFont="1" applyFill="1" applyBorder="1"/>
    <xf numFmtId="0" fontId="17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7" fillId="0" borderId="16" xfId="0" applyNumberFormat="1" applyFont="1" applyBorder="1" applyAlignment="1">
      <alignment horizontal="center"/>
    </xf>
    <xf numFmtId="0" fontId="17" fillId="0" borderId="0" xfId="0" applyFont="1" applyFill="1" applyBorder="1"/>
    <xf numFmtId="0" fontId="3" fillId="0" borderId="0" xfId="0" applyFont="1" applyBorder="1" applyAlignment="1">
      <alignment horizontal="left"/>
    </xf>
    <xf numFmtId="44" fontId="9" fillId="0" borderId="16" xfId="1" applyFont="1" applyBorder="1"/>
    <xf numFmtId="44" fontId="9" fillId="0" borderId="21" xfId="0" applyNumberFormat="1" applyFont="1" applyBorder="1" applyAlignment="1">
      <alignment horizontal="center"/>
    </xf>
    <xf numFmtId="44" fontId="17" fillId="3" borderId="25" xfId="1" applyFont="1" applyFill="1" applyBorder="1"/>
    <xf numFmtId="0" fontId="12" fillId="0" borderId="76" xfId="0" applyFont="1" applyBorder="1"/>
    <xf numFmtId="44" fontId="34" fillId="0" borderId="16" xfId="0" applyNumberFormat="1" applyFont="1" applyBorder="1" applyAlignment="1">
      <alignment horizontal="center"/>
    </xf>
    <xf numFmtId="0" fontId="17" fillId="3" borderId="25" xfId="1" applyNumberFormat="1" applyFont="1" applyFill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27" fillId="0" borderId="20" xfId="0" applyFont="1" applyBorder="1" applyAlignment="1">
      <alignment horizontal="left"/>
    </xf>
    <xf numFmtId="0" fontId="15" fillId="3" borderId="28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3" borderId="25" xfId="1" applyNumberFormat="1" applyFont="1" applyFill="1" applyBorder="1" applyAlignment="1">
      <alignment horizontal="center"/>
    </xf>
    <xf numFmtId="0" fontId="12" fillId="0" borderId="23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7" fillId="3" borderId="25" xfId="0" applyFont="1" applyFill="1" applyBorder="1" applyAlignment="1">
      <alignment horizontal="center"/>
    </xf>
    <xf numFmtId="44" fontId="17" fillId="0" borderId="16" xfId="0" applyNumberFormat="1" applyFont="1" applyFill="1" applyBorder="1" applyAlignment="1">
      <alignment horizontal="center"/>
    </xf>
    <xf numFmtId="0" fontId="17" fillId="3" borderId="25" xfId="0" applyFont="1" applyFill="1" applyBorder="1" applyAlignment="1">
      <alignment horizontal="left"/>
    </xf>
    <xf numFmtId="44" fontId="26" fillId="0" borderId="16" xfId="1" applyFont="1" applyBorder="1" applyAlignment="1"/>
    <xf numFmtId="0" fontId="27" fillId="0" borderId="0" xfId="0" applyFont="1" applyBorder="1"/>
    <xf numFmtId="0" fontId="12" fillId="0" borderId="74" xfId="0" applyFont="1" applyBorder="1" applyAlignment="1">
      <alignment horizontal="center"/>
    </xf>
    <xf numFmtId="44" fontId="26" fillId="0" borderId="16" xfId="1" applyFont="1" applyBorder="1"/>
    <xf numFmtId="44" fontId="12" fillId="0" borderId="21" xfId="1" applyFont="1" applyFill="1" applyBorder="1" applyAlignment="1">
      <alignment horizontal="left"/>
    </xf>
    <xf numFmtId="0" fontId="17" fillId="3" borderId="2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4" fontId="9" fillId="0" borderId="16" xfId="0" applyNumberFormat="1" applyFont="1" applyFill="1" applyBorder="1" applyAlignment="1">
      <alignment horizontal="center"/>
    </xf>
    <xf numFmtId="0" fontId="34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2" fillId="0" borderId="16" xfId="0" applyFont="1" applyFill="1" applyBorder="1" applyAlignment="1"/>
    <xf numFmtId="0" fontId="12" fillId="2" borderId="16" xfId="0" applyFont="1" applyFill="1" applyBorder="1" applyAlignment="1">
      <alignment horizontal="left"/>
    </xf>
    <xf numFmtId="0" fontId="37" fillId="0" borderId="0" xfId="0" applyFont="1" applyBorder="1"/>
    <xf numFmtId="0" fontId="12" fillId="0" borderId="0" xfId="0" applyFont="1" applyFill="1" applyBorder="1" applyAlignment="1">
      <alignment horizontal="left"/>
    </xf>
    <xf numFmtId="0" fontId="22" fillId="0" borderId="0" xfId="0" applyFont="1" applyBorder="1"/>
    <xf numFmtId="0" fontId="35" fillId="0" borderId="16" xfId="0" applyFont="1" applyBorder="1" applyAlignment="1">
      <alignment horizontal="center"/>
    </xf>
    <xf numFmtId="44" fontId="17" fillId="0" borderId="16" xfId="1" applyFont="1" applyBorder="1"/>
    <xf numFmtId="0" fontId="38" fillId="0" borderId="0" xfId="0" applyFont="1" applyBorder="1" applyAlignment="1">
      <alignment horizontal="left"/>
    </xf>
    <xf numFmtId="44" fontId="12" fillId="0" borderId="19" xfId="1" applyNumberFormat="1" applyFont="1" applyBorder="1" applyAlignment="1">
      <alignment horizontal="left"/>
    </xf>
    <xf numFmtId="44" fontId="12" fillId="0" borderId="22" xfId="1" applyFont="1" applyBorder="1"/>
    <xf numFmtId="44" fontId="12" fillId="0" borderId="76" xfId="1" applyNumberFormat="1" applyFont="1" applyBorder="1"/>
    <xf numFmtId="0" fontId="22" fillId="0" borderId="20" xfId="0" applyFont="1" applyFill="1" applyBorder="1" applyAlignment="1">
      <alignment horizontal="left"/>
    </xf>
    <xf numFmtId="44" fontId="22" fillId="0" borderId="16" xfId="0" applyNumberFormat="1" applyFont="1" applyBorder="1"/>
    <xf numFmtId="44" fontId="26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0" fontId="14" fillId="0" borderId="0" xfId="0" applyFont="1" applyBorder="1"/>
    <xf numFmtId="0" fontId="1" fillId="0" borderId="0" xfId="0" applyFont="1"/>
    <xf numFmtId="0" fontId="12" fillId="0" borderId="19" xfId="0" applyFont="1" applyFill="1" applyBorder="1" applyAlignment="1"/>
    <xf numFmtId="44" fontId="9" fillId="0" borderId="0" xfId="0" applyNumberFormat="1" applyFont="1"/>
    <xf numFmtId="0" fontId="9" fillId="0" borderId="0" xfId="0" applyFont="1" applyAlignment="1">
      <alignment vertical="center"/>
    </xf>
    <xf numFmtId="0" fontId="24" fillId="0" borderId="0" xfId="0" applyFont="1" applyBorder="1"/>
    <xf numFmtId="42" fontId="0" fillId="0" borderId="0" xfId="0" applyNumberFormat="1"/>
    <xf numFmtId="0" fontId="23" fillId="0" borderId="81" xfId="0" applyFont="1" applyBorder="1" applyAlignment="1">
      <alignment horizontal="left" vertical="center"/>
    </xf>
    <xf numFmtId="44" fontId="12" fillId="0" borderId="76" xfId="1" applyFont="1" applyBorder="1" applyAlignment="1">
      <alignment horizontal="left"/>
    </xf>
    <xf numFmtId="0" fontId="12" fillId="0" borderId="72" xfId="0" applyFont="1" applyBorder="1"/>
    <xf numFmtId="164" fontId="9" fillId="0" borderId="0" xfId="0" applyNumberFormat="1" applyFont="1" applyBorder="1" applyAlignment="1"/>
    <xf numFmtId="0" fontId="12" fillId="0" borderId="41" xfId="0" applyFont="1" applyBorder="1"/>
    <xf numFmtId="0" fontId="18" fillId="3" borderId="25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5" fillId="0" borderId="3" xfId="0" applyFont="1" applyBorder="1"/>
    <xf numFmtId="44" fontId="15" fillId="0" borderId="3" xfId="0" applyNumberFormat="1" applyFont="1" applyBorder="1"/>
    <xf numFmtId="0" fontId="15" fillId="0" borderId="1" xfId="0" applyFont="1" applyBorder="1"/>
    <xf numFmtId="0" fontId="15" fillId="0" borderId="2" xfId="0" applyFont="1" applyBorder="1"/>
    <xf numFmtId="44" fontId="15" fillId="0" borderId="10" xfId="0" applyNumberFormat="1" applyFont="1" applyBorder="1"/>
    <xf numFmtId="0" fontId="41" fillId="0" borderId="16" xfId="0" applyFont="1" applyBorder="1" applyAlignment="1">
      <alignment horizontal="center"/>
    </xf>
    <xf numFmtId="0" fontId="12" fillId="0" borderId="1" xfId="0" applyFont="1" applyBorder="1" applyAlignment="1"/>
    <xf numFmtId="44" fontId="9" fillId="0" borderId="16" xfId="1" applyFont="1" applyBorder="1" applyAlignment="1">
      <alignment horizontal="left"/>
    </xf>
    <xf numFmtId="44" fontId="9" fillId="0" borderId="19" xfId="1" applyFont="1" applyBorder="1" applyAlignment="1">
      <alignment horizontal="left"/>
    </xf>
    <xf numFmtId="44" fontId="9" fillId="0" borderId="19" xfId="0" applyNumberFormat="1" applyFont="1" applyBorder="1"/>
    <xf numFmtId="0" fontId="9" fillId="0" borderId="76" xfId="0" applyFont="1" applyBorder="1"/>
    <xf numFmtId="0" fontId="12" fillId="3" borderId="53" xfId="0" applyFont="1" applyFill="1" applyBorder="1"/>
    <xf numFmtId="0" fontId="12" fillId="0" borderId="0" xfId="0" applyFont="1" applyAlignment="1">
      <alignment horizontal="center"/>
    </xf>
    <xf numFmtId="0" fontId="9" fillId="0" borderId="46" xfId="0" applyFont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9" fillId="0" borderId="19" xfId="0" applyFont="1" applyBorder="1" applyAlignment="1">
      <alignment horizontal="left"/>
    </xf>
    <xf numFmtId="44" fontId="9" fillId="0" borderId="21" xfId="1" applyFont="1" applyBorder="1" applyAlignment="1">
      <alignment horizontal="left"/>
    </xf>
    <xf numFmtId="0" fontId="9" fillId="0" borderId="0" xfId="0" applyFont="1" applyBorder="1" applyAlignment="1">
      <alignment vertical="justify" wrapText="1"/>
    </xf>
    <xf numFmtId="0" fontId="9" fillId="0" borderId="19" xfId="0" applyFont="1" applyBorder="1" applyAlignment="1"/>
    <xf numFmtId="44" fontId="35" fillId="0" borderId="16" xfId="1" applyFont="1" applyBorder="1"/>
    <xf numFmtId="0" fontId="9" fillId="0" borderId="74" xfId="0" applyFont="1" applyBorder="1" applyAlignment="1">
      <alignment horizontal="center"/>
    </xf>
    <xf numFmtId="44" fontId="12" fillId="0" borderId="76" xfId="0" applyNumberFormat="1" applyFont="1" applyBorder="1"/>
    <xf numFmtId="0" fontId="22" fillId="0" borderId="0" xfId="0" applyFont="1"/>
    <xf numFmtId="0" fontId="22" fillId="0" borderId="1" xfId="0" applyFont="1" applyBorder="1" applyAlignment="1"/>
    <xf numFmtId="0" fontId="22" fillId="0" borderId="1" xfId="0" applyFont="1" applyBorder="1"/>
    <xf numFmtId="0" fontId="22" fillId="0" borderId="20" xfId="0" applyFont="1" applyBorder="1" applyAlignment="1">
      <alignment horizontal="left"/>
    </xf>
    <xf numFmtId="0" fontId="22" fillId="0" borderId="19" xfId="0" applyFont="1" applyBorder="1"/>
    <xf numFmtId="44" fontId="34" fillId="0" borderId="19" xfId="0" applyNumberFormat="1" applyFont="1" applyBorder="1" applyAlignment="1">
      <alignment horizontal="center"/>
    </xf>
    <xf numFmtId="0" fontId="12" fillId="0" borderId="69" xfId="0" applyFont="1" applyBorder="1"/>
    <xf numFmtId="44" fontId="22" fillId="0" borderId="19" xfId="0" applyNumberFormat="1" applyFont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/>
    </xf>
    <xf numFmtId="44" fontId="12" fillId="0" borderId="69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86" xfId="0" applyFont="1" applyBorder="1"/>
    <xf numFmtId="44" fontId="12" fillId="0" borderId="86" xfId="0" applyNumberFormat="1" applyFont="1" applyFill="1" applyBorder="1" applyAlignment="1">
      <alignment horizontal="center"/>
    </xf>
    <xf numFmtId="44" fontId="12" fillId="0" borderId="86" xfId="0" applyNumberFormat="1" applyFont="1" applyFill="1" applyBorder="1"/>
    <xf numFmtId="0" fontId="17" fillId="0" borderId="20" xfId="0" applyFont="1" applyFill="1" applyBorder="1" applyAlignment="1">
      <alignment horizontal="left"/>
    </xf>
    <xf numFmtId="0" fontId="18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4" fontId="15" fillId="0" borderId="3" xfId="1" applyNumberFormat="1" applyFont="1" applyBorder="1"/>
    <xf numFmtId="0" fontId="18" fillId="0" borderId="1" xfId="0" applyFont="1" applyBorder="1"/>
    <xf numFmtId="44" fontId="15" fillId="0" borderId="3" xfId="1" applyFont="1" applyBorder="1"/>
    <xf numFmtId="0" fontId="15" fillId="0" borderId="17" xfId="0" applyFont="1" applyBorder="1"/>
    <xf numFmtId="0" fontId="15" fillId="0" borderId="8" xfId="0" applyFont="1" applyBorder="1"/>
    <xf numFmtId="44" fontId="15" fillId="0" borderId="8" xfId="1" applyNumberFormat="1" applyFont="1" applyBorder="1"/>
    <xf numFmtId="0" fontId="18" fillId="0" borderId="18" xfId="0" applyFont="1" applyBorder="1"/>
    <xf numFmtId="0" fontId="15" fillId="0" borderId="13" xfId="0" applyFont="1" applyBorder="1"/>
    <xf numFmtId="44" fontId="15" fillId="0" borderId="13" xfId="0" applyNumberFormat="1" applyFont="1" applyBorder="1"/>
    <xf numFmtId="0" fontId="18" fillId="0" borderId="9" xfId="0" applyFont="1" applyBorder="1" applyAlignment="1">
      <alignment horizontal="right"/>
    </xf>
    <xf numFmtId="0" fontId="15" fillId="0" borderId="10" xfId="0" applyFont="1" applyBorder="1"/>
    <xf numFmtId="44" fontId="18" fillId="0" borderId="50" xfId="0" applyNumberFormat="1" applyFont="1" applyBorder="1"/>
    <xf numFmtId="44" fontId="15" fillId="0" borderId="2" xfId="1" applyNumberFormat="1" applyFont="1" applyBorder="1"/>
    <xf numFmtId="44" fontId="18" fillId="0" borderId="11" xfId="0" applyNumberFormat="1" applyFont="1" applyBorder="1"/>
    <xf numFmtId="0" fontId="15" fillId="0" borderId="11" xfId="0" applyFont="1" applyBorder="1"/>
    <xf numFmtId="44" fontId="18" fillId="0" borderId="2" xfId="0" applyNumberFormat="1" applyFont="1" applyBorder="1"/>
    <xf numFmtId="44" fontId="18" fillId="0" borderId="2" xfId="0" applyNumberFormat="1" applyFont="1" applyBorder="1" applyAlignment="1">
      <alignment horizontal="center"/>
    </xf>
    <xf numFmtId="44" fontId="18" fillId="0" borderId="2" xfId="1" applyNumberFormat="1" applyFont="1" applyBorder="1"/>
    <xf numFmtId="44" fontId="18" fillId="0" borderId="2" xfId="1" applyFont="1" applyBorder="1"/>
    <xf numFmtId="44" fontId="18" fillId="0" borderId="77" xfId="1" applyNumberFormat="1" applyFont="1" applyBorder="1"/>
    <xf numFmtId="8" fontId="9" fillId="0" borderId="0" xfId="0" applyNumberFormat="1" applyFont="1"/>
    <xf numFmtId="0" fontId="14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14" fillId="0" borderId="27" xfId="0" applyNumberFormat="1" applyFont="1" applyBorder="1" applyAlignment="1">
      <alignment vertical="top"/>
    </xf>
    <xf numFmtId="0" fontId="14" fillId="0" borderId="8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2" fontId="9" fillId="2" borderId="15" xfId="0" applyNumberFormat="1" applyFont="1" applyFill="1" applyBorder="1"/>
    <xf numFmtId="42" fontId="9" fillId="0" borderId="0" xfId="0" applyNumberFormat="1" applyFont="1"/>
    <xf numFmtId="0" fontId="43" fillId="0" borderId="0" xfId="0" applyFont="1"/>
    <xf numFmtId="0" fontId="44" fillId="0" borderId="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2" borderId="28" xfId="0" applyFont="1" applyFill="1" applyBorder="1"/>
    <xf numFmtId="42" fontId="43" fillId="0" borderId="29" xfId="0" applyNumberFormat="1" applyFont="1" applyFill="1" applyBorder="1"/>
    <xf numFmtId="42" fontId="43" fillId="0" borderId="3" xfId="0" applyNumberFormat="1" applyFont="1" applyFill="1" applyBorder="1"/>
    <xf numFmtId="0" fontId="43" fillId="2" borderId="1" xfId="0" applyFont="1" applyFill="1" applyBorder="1"/>
    <xf numFmtId="0" fontId="43" fillId="2" borderId="4" xfId="0" applyFont="1" applyFill="1" applyBorder="1"/>
    <xf numFmtId="42" fontId="43" fillId="0" borderId="24" xfId="0" applyNumberFormat="1" applyFont="1" applyFill="1" applyBorder="1"/>
    <xf numFmtId="0" fontId="43" fillId="2" borderId="28" xfId="0" applyFont="1" applyFill="1" applyBorder="1" applyAlignment="1">
      <alignment wrapText="1"/>
    </xf>
    <xf numFmtId="42" fontId="43" fillId="3" borderId="29" xfId="0" applyNumberFormat="1" applyFont="1" applyFill="1" applyBorder="1"/>
    <xf numFmtId="0" fontId="43" fillId="0" borderId="1" xfId="0" applyFont="1" applyBorder="1"/>
    <xf numFmtId="42" fontId="43" fillId="3" borderId="3" xfId="0" applyNumberFormat="1" applyFont="1" applyFill="1" applyBorder="1"/>
    <xf numFmtId="0" fontId="43" fillId="0" borderId="42" xfId="0" applyFont="1" applyBorder="1"/>
    <xf numFmtId="0" fontId="43" fillId="2" borderId="17" xfId="0" applyFont="1" applyFill="1" applyBorder="1"/>
    <xf numFmtId="42" fontId="43" fillId="0" borderId="8" xfId="0" applyNumberFormat="1" applyFont="1" applyFill="1" applyBorder="1"/>
    <xf numFmtId="0" fontId="45" fillId="0" borderId="16" xfId="0" applyFont="1" applyBorder="1"/>
    <xf numFmtId="9" fontId="9" fillId="0" borderId="0" xfId="0" applyNumberFormat="1" applyFont="1"/>
    <xf numFmtId="0" fontId="46" fillId="0" borderId="0" xfId="0" applyFont="1"/>
    <xf numFmtId="0" fontId="39" fillId="0" borderId="0" xfId="0" applyFont="1" applyAlignment="1">
      <alignment horizontal="right"/>
    </xf>
    <xf numFmtId="0" fontId="12" fillId="0" borderId="16" xfId="0" applyFont="1" applyFill="1" applyBorder="1" applyAlignment="1">
      <alignment horizontal="left" vertical="top"/>
    </xf>
    <xf numFmtId="44" fontId="12" fillId="0" borderId="16" xfId="1" applyNumberFormat="1" applyFont="1" applyBorder="1" applyAlignment="1"/>
    <xf numFmtId="0" fontId="43" fillId="0" borderId="28" xfId="0" applyFont="1" applyFill="1" applyBorder="1"/>
    <xf numFmtId="0" fontId="43" fillId="0" borderId="1" xfId="0" applyFont="1" applyFill="1" applyBorder="1"/>
    <xf numFmtId="0" fontId="43" fillId="0" borderId="4" xfId="0" applyFont="1" applyFill="1" applyBorder="1"/>
    <xf numFmtId="0" fontId="43" fillId="0" borderId="5" xfId="0" applyFont="1" applyBorder="1"/>
    <xf numFmtId="42" fontId="43" fillId="0" borderId="6" xfId="0" applyNumberFormat="1" applyFont="1" applyFill="1" applyBorder="1"/>
    <xf numFmtId="42" fontId="43" fillId="3" borderId="6" xfId="0" applyNumberFormat="1" applyFont="1" applyFill="1" applyBorder="1"/>
    <xf numFmtId="42" fontId="43" fillId="2" borderId="29" xfId="0" applyNumberFormat="1" applyFont="1" applyFill="1" applyBorder="1"/>
    <xf numFmtId="42" fontId="43" fillId="0" borderId="71" xfId="0" applyNumberFormat="1" applyFont="1" applyFill="1" applyBorder="1"/>
    <xf numFmtId="42" fontId="43" fillId="2" borderId="71" xfId="0" applyNumberFormat="1" applyFont="1" applyFill="1" applyBorder="1"/>
    <xf numFmtId="0" fontId="22" fillId="0" borderId="40" xfId="0" applyFont="1" applyBorder="1" applyAlignment="1">
      <alignment horizontal="left"/>
    </xf>
    <xf numFmtId="42" fontId="43" fillId="0" borderId="13" xfId="0" applyNumberFormat="1" applyFont="1" applyFill="1" applyBorder="1"/>
    <xf numFmtId="0" fontId="43" fillId="0" borderId="70" xfId="0" applyFont="1" applyFill="1" applyBorder="1"/>
    <xf numFmtId="42" fontId="43" fillId="3" borderId="24" xfId="0" applyNumberFormat="1" applyFont="1" applyFill="1" applyBorder="1"/>
    <xf numFmtId="42" fontId="9" fillId="0" borderId="12" xfId="0" applyNumberFormat="1" applyFont="1" applyFill="1" applyBorder="1"/>
    <xf numFmtId="42" fontId="9" fillId="0" borderId="78" xfId="0" applyNumberFormat="1" applyFont="1" applyFill="1" applyBorder="1"/>
    <xf numFmtId="42" fontId="9" fillId="0" borderId="33" xfId="0" applyNumberFormat="1" applyFont="1" applyFill="1" applyBorder="1"/>
    <xf numFmtId="42" fontId="9" fillId="0" borderId="2" xfId="0" applyNumberFormat="1" applyFont="1" applyFill="1" applyBorder="1"/>
    <xf numFmtId="41" fontId="9" fillId="0" borderId="66" xfId="0" applyNumberFormat="1" applyFont="1" applyFill="1" applyBorder="1"/>
    <xf numFmtId="43" fontId="9" fillId="0" borderId="66" xfId="0" applyNumberFormat="1" applyFont="1" applyFill="1" applyBorder="1"/>
    <xf numFmtId="0" fontId="43" fillId="2" borderId="71" xfId="0" applyFont="1" applyFill="1" applyBorder="1"/>
    <xf numFmtId="0" fontId="20" fillId="2" borderId="29" xfId="0" applyFont="1" applyFill="1" applyBorder="1"/>
    <xf numFmtId="0" fontId="9" fillId="0" borderId="0" xfId="0" applyFont="1" applyFill="1"/>
    <xf numFmtId="0" fontId="20" fillId="0" borderId="0" xfId="0" applyFont="1" applyBorder="1"/>
    <xf numFmtId="44" fontId="12" fillId="0" borderId="26" xfId="0" applyNumberFormat="1" applyFont="1" applyBorder="1"/>
    <xf numFmtId="44" fontId="12" fillId="0" borderId="79" xfId="1" applyNumberFormat="1" applyFont="1" applyBorder="1" applyAlignment="1">
      <alignment horizontal="center"/>
    </xf>
    <xf numFmtId="0" fontId="9" fillId="0" borderId="29" xfId="0" applyFont="1" applyFill="1" applyBorder="1"/>
    <xf numFmtId="0" fontId="9" fillId="0" borderId="1" xfId="0" applyFont="1" applyFill="1" applyBorder="1"/>
    <xf numFmtId="0" fontId="48" fillId="0" borderId="3" xfId="0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56" xfId="0" applyFont="1" applyFill="1" applyBorder="1"/>
    <xf numFmtId="0" fontId="9" fillId="0" borderId="34" xfId="0" applyFont="1" applyFill="1" applyBorder="1"/>
    <xf numFmtId="0" fontId="9" fillId="0" borderId="81" xfId="0" applyFont="1" applyFill="1" applyBorder="1"/>
    <xf numFmtId="0" fontId="9" fillId="0" borderId="17" xfId="0" applyFont="1" applyBorder="1"/>
    <xf numFmtId="0" fontId="9" fillId="0" borderId="8" xfId="0" applyFont="1" applyBorder="1"/>
    <xf numFmtId="0" fontId="9" fillId="0" borderId="59" xfId="0" applyFont="1" applyBorder="1"/>
    <xf numFmtId="0" fontId="9" fillId="0" borderId="35" xfId="0" applyFont="1" applyBorder="1"/>
    <xf numFmtId="0" fontId="20" fillId="0" borderId="0" xfId="0" applyFont="1" applyAlignment="1">
      <alignment horizontal="center"/>
    </xf>
    <xf numFmtId="0" fontId="20" fillId="0" borderId="0" xfId="0" applyFont="1"/>
    <xf numFmtId="0" fontId="9" fillId="0" borderId="63" xfId="0" applyFont="1" applyBorder="1"/>
    <xf numFmtId="0" fontId="9" fillId="0" borderId="36" xfId="0" applyFont="1" applyBorder="1"/>
    <xf numFmtId="0" fontId="9" fillId="0" borderId="65" xfId="0" applyFont="1" applyBorder="1"/>
    <xf numFmtId="0" fontId="9" fillId="0" borderId="38" xfId="0" applyFont="1" applyBorder="1"/>
    <xf numFmtId="4" fontId="9" fillId="0" borderId="0" xfId="0" applyNumberFormat="1" applyFont="1"/>
    <xf numFmtId="164" fontId="9" fillId="0" borderId="0" xfId="0" applyNumberFormat="1" applyFont="1"/>
    <xf numFmtId="0" fontId="48" fillId="0" borderId="90" xfId="0" applyFont="1" applyFill="1" applyBorder="1"/>
    <xf numFmtId="0" fontId="11" fillId="0" borderId="0" xfId="0" applyFont="1"/>
    <xf numFmtId="44" fontId="12" fillId="0" borderId="40" xfId="0" applyNumberFormat="1" applyFont="1" applyBorder="1" applyAlignment="1">
      <alignment horizontal="center"/>
    </xf>
    <xf numFmtId="0" fontId="17" fillId="0" borderId="16" xfId="1" applyNumberFormat="1" applyFont="1" applyBorder="1" applyAlignment="1">
      <alignment horizontal="center" vertical="center"/>
    </xf>
    <xf numFmtId="0" fontId="22" fillId="0" borderId="16" xfId="0" applyFont="1" applyBorder="1"/>
    <xf numFmtId="0" fontId="51" fillId="0" borderId="0" xfId="0" applyFont="1"/>
    <xf numFmtId="0" fontId="9" fillId="0" borderId="110" xfId="0" applyFont="1" applyBorder="1"/>
    <xf numFmtId="0" fontId="9" fillId="0" borderId="42" xfId="0" applyFont="1" applyBorder="1" applyAlignment="1">
      <alignment horizontal="center"/>
    </xf>
    <xf numFmtId="0" fontId="9" fillId="0" borderId="52" xfId="0" applyFont="1" applyBorder="1"/>
    <xf numFmtId="0" fontId="9" fillId="0" borderId="73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20" fillId="0" borderId="110" xfId="0" applyFont="1" applyBorder="1" applyAlignment="1">
      <alignment horizontal="right"/>
    </xf>
    <xf numFmtId="0" fontId="20" fillId="0" borderId="42" xfId="0" applyFont="1" applyBorder="1" applyAlignment="1">
      <alignment horizontal="center"/>
    </xf>
    <xf numFmtId="0" fontId="20" fillId="0" borderId="52" xfId="0" applyFont="1" applyBorder="1" applyAlignment="1">
      <alignment horizontal="right"/>
    </xf>
    <xf numFmtId="0" fontId="20" fillId="0" borderId="73" xfId="0" applyFont="1" applyBorder="1" applyAlignment="1">
      <alignment horizontal="center"/>
    </xf>
    <xf numFmtId="0" fontId="20" fillId="0" borderId="43" xfId="0" applyFont="1" applyBorder="1" applyAlignment="1">
      <alignment horizontal="right"/>
    </xf>
    <xf numFmtId="0" fontId="20" fillId="0" borderId="45" xfId="0" applyFont="1" applyBorder="1" applyAlignment="1">
      <alignment horizontal="center"/>
    </xf>
    <xf numFmtId="0" fontId="9" fillId="0" borderId="42" xfId="0" applyFont="1" applyBorder="1"/>
    <xf numFmtId="0" fontId="9" fillId="0" borderId="73" xfId="0" applyFont="1" applyBorder="1"/>
    <xf numFmtId="0" fontId="9" fillId="0" borderId="43" xfId="0" applyFont="1" applyBorder="1"/>
    <xf numFmtId="0" fontId="9" fillId="0" borderId="45" xfId="0" applyFont="1" applyBorder="1"/>
    <xf numFmtId="0" fontId="9" fillId="0" borderId="52" xfId="0" applyFont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44" fontId="22" fillId="0" borderId="16" xfId="0" applyNumberFormat="1" applyFont="1" applyFill="1" applyBorder="1"/>
    <xf numFmtId="43" fontId="9" fillId="0" borderId="64" xfId="0" applyNumberFormat="1" applyFont="1" applyBorder="1"/>
    <xf numFmtId="0" fontId="9" fillId="0" borderId="24" xfId="0" applyFont="1" applyFill="1" applyBorder="1"/>
    <xf numFmtId="0" fontId="9" fillId="0" borderId="8" xfId="0" applyFont="1" applyFill="1" applyBorder="1"/>
    <xf numFmtId="44" fontId="9" fillId="0" borderId="2" xfId="0" applyNumberFormat="1" applyFont="1" applyFill="1" applyBorder="1"/>
    <xf numFmtId="0" fontId="9" fillId="0" borderId="95" xfId="0" applyFont="1" applyBorder="1"/>
    <xf numFmtId="0" fontId="9" fillId="0" borderId="89" xfId="0" applyFont="1" applyBorder="1"/>
    <xf numFmtId="43" fontId="9" fillId="0" borderId="96" xfId="0" applyNumberFormat="1" applyFont="1" applyBorder="1"/>
    <xf numFmtId="0" fontId="9" fillId="0" borderId="97" xfId="0" applyFont="1" applyFill="1" applyBorder="1"/>
    <xf numFmtId="0" fontId="9" fillId="0" borderId="102" xfId="0" applyFont="1" applyFill="1" applyBorder="1"/>
    <xf numFmtId="0" fontId="9" fillId="0" borderId="106" xfId="0" applyFont="1" applyFill="1" applyBorder="1"/>
    <xf numFmtId="0" fontId="9" fillId="0" borderId="99" xfId="0" applyFont="1" applyBorder="1"/>
    <xf numFmtId="0" fontId="9" fillId="0" borderId="100" xfId="0" applyFont="1" applyBorder="1"/>
    <xf numFmtId="43" fontId="9" fillId="0" borderId="101" xfId="0" applyNumberFormat="1" applyFont="1" applyBorder="1"/>
    <xf numFmtId="42" fontId="9" fillId="0" borderId="26" xfId="0" applyNumberFormat="1" applyFont="1" applyBorder="1"/>
    <xf numFmtId="0" fontId="22" fillId="0" borderId="20" xfId="0" applyFont="1" applyFill="1" applyBorder="1"/>
    <xf numFmtId="0" fontId="12" fillId="0" borderId="70" xfId="0" applyFont="1" applyBorder="1" applyAlignment="1">
      <alignment horizontal="center"/>
    </xf>
    <xf numFmtId="44" fontId="12" fillId="0" borderId="74" xfId="0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12" fillId="0" borderId="43" xfId="0" applyFont="1" applyFill="1" applyBorder="1" applyAlignment="1">
      <alignment horizontal="right"/>
    </xf>
    <xf numFmtId="0" fontId="22" fillId="0" borderId="23" xfId="0" applyFont="1" applyFill="1" applyBorder="1"/>
    <xf numFmtId="0" fontId="22" fillId="0" borderId="22" xfId="0" applyFont="1" applyBorder="1" applyAlignment="1">
      <alignment horizontal="left" vertical="center"/>
    </xf>
    <xf numFmtId="0" fontId="12" fillId="0" borderId="20" xfId="0" applyFont="1" applyBorder="1" applyAlignment="1">
      <alignment vertical="center" wrapText="1"/>
    </xf>
    <xf numFmtId="44" fontId="12" fillId="0" borderId="30" xfId="1" applyNumberFormat="1" applyFont="1" applyBorder="1" applyAlignment="1">
      <alignment horizontal="left"/>
    </xf>
    <xf numFmtId="44" fontId="12" fillId="0" borderId="30" xfId="0" applyNumberFormat="1" applyFont="1" applyBorder="1"/>
    <xf numFmtId="44" fontId="12" fillId="0" borderId="31" xfId="0" applyNumberFormat="1" applyFont="1" applyBorder="1"/>
    <xf numFmtId="0" fontId="12" fillId="0" borderId="47" xfId="0" applyFont="1" applyBorder="1"/>
    <xf numFmtId="0" fontId="52" fillId="0" borderId="0" xfId="0" applyFont="1"/>
    <xf numFmtId="44" fontId="12" fillId="0" borderId="46" xfId="0" applyNumberFormat="1" applyFont="1" applyBorder="1"/>
    <xf numFmtId="0" fontId="12" fillId="0" borderId="52" xfId="0" applyFont="1" applyBorder="1"/>
    <xf numFmtId="0" fontId="12" fillId="0" borderId="20" xfId="0" applyFont="1" applyFill="1" applyBorder="1" applyAlignment="1">
      <alignment vertical="top"/>
    </xf>
    <xf numFmtId="0" fontId="12" fillId="0" borderId="20" xfId="0" applyFont="1" applyFill="1" applyBorder="1" applyAlignment="1">
      <alignment vertical="top" wrapText="1"/>
    </xf>
    <xf numFmtId="44" fontId="12" fillId="0" borderId="85" xfId="1" applyNumberFormat="1" applyFont="1" applyBorder="1" applyAlignment="1"/>
    <xf numFmtId="0" fontId="22" fillId="0" borderId="16" xfId="0" applyFont="1" applyFill="1" applyBorder="1" applyAlignment="1">
      <alignment horizontal="left" vertical="top"/>
    </xf>
    <xf numFmtId="0" fontId="22" fillId="0" borderId="19" xfId="0" applyFont="1" applyBorder="1" applyAlignment="1">
      <alignment horizontal="left"/>
    </xf>
    <xf numFmtId="44" fontId="22" fillId="0" borderId="19" xfId="0" applyNumberFormat="1" applyFont="1" applyBorder="1"/>
    <xf numFmtId="44" fontId="34" fillId="0" borderId="16" xfId="0" applyNumberFormat="1" applyFont="1" applyBorder="1"/>
    <xf numFmtId="44" fontId="34" fillId="0" borderId="19" xfId="0" applyNumberFormat="1" applyFont="1" applyBorder="1"/>
    <xf numFmtId="0" fontId="12" fillId="0" borderId="19" xfId="0" applyFont="1" applyBorder="1" applyAlignment="1">
      <alignment horizontal="left"/>
    </xf>
    <xf numFmtId="44" fontId="12" fillId="0" borderId="76" xfId="0" applyNumberFormat="1" applyFont="1" applyBorder="1" applyAlignment="1">
      <alignment horizontal="center"/>
    </xf>
    <xf numFmtId="44" fontId="9" fillId="0" borderId="79" xfId="0" applyNumberFormat="1" applyFont="1" applyBorder="1" applyAlignment="1">
      <alignment horizontal="center"/>
    </xf>
    <xf numFmtId="44" fontId="9" fillId="0" borderId="26" xfId="0" applyNumberFormat="1" applyFont="1" applyBorder="1" applyAlignment="1">
      <alignment horizontal="center"/>
    </xf>
    <xf numFmtId="0" fontId="21" fillId="0" borderId="16" xfId="0" applyFont="1" applyBorder="1" applyAlignment="1"/>
    <xf numFmtId="0" fontId="26" fillId="0" borderId="52" xfId="0" applyFont="1" applyBorder="1"/>
    <xf numFmtId="44" fontId="12" fillId="0" borderId="26" xfId="1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44" fontId="9" fillId="0" borderId="3" xfId="0" applyNumberFormat="1" applyFont="1" applyFill="1" applyBorder="1"/>
    <xf numFmtId="44" fontId="9" fillId="0" borderId="24" xfId="0" applyNumberFormat="1" applyFont="1" applyFill="1" applyBorder="1"/>
    <xf numFmtId="44" fontId="9" fillId="0" borderId="6" xfId="0" applyNumberFormat="1" applyFont="1" applyFill="1" applyBorder="1"/>
    <xf numFmtId="0" fontId="53" fillId="0" borderId="0" xfId="0" applyFont="1"/>
    <xf numFmtId="0" fontId="9" fillId="0" borderId="112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44" fontId="12" fillId="0" borderId="26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44" fontId="12" fillId="0" borderId="2" xfId="0" applyNumberFormat="1" applyFont="1" applyFill="1" applyBorder="1" applyAlignment="1">
      <alignment horizontal="center" vertical="center"/>
    </xf>
    <xf numFmtId="44" fontId="22" fillId="0" borderId="3" xfId="0" applyNumberFormat="1" applyFont="1" applyBorder="1" applyAlignment="1">
      <alignment horizontal="center" vertical="center"/>
    </xf>
    <xf numFmtId="0" fontId="9" fillId="0" borderId="11" xfId="0" applyFont="1" applyFill="1" applyBorder="1"/>
    <xf numFmtId="0" fontId="9" fillId="7" borderId="0" xfId="0" applyFont="1" applyFill="1"/>
    <xf numFmtId="44" fontId="11" fillId="0" borderId="39" xfId="0" applyNumberFormat="1" applyFont="1" applyBorder="1" applyAlignment="1">
      <alignment horizontal="right"/>
    </xf>
    <xf numFmtId="0" fontId="9" fillId="0" borderId="108" xfId="0" applyFont="1" applyFill="1" applyBorder="1"/>
    <xf numFmtId="0" fontId="9" fillId="0" borderId="104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2" fillId="0" borderId="22" xfId="0" applyFont="1" applyFill="1" applyBorder="1"/>
    <xf numFmtId="0" fontId="12" fillId="0" borderId="74" xfId="0" applyFont="1" applyBorder="1" applyAlignment="1">
      <alignment horizontal="center" vertical="center"/>
    </xf>
    <xf numFmtId="43" fontId="9" fillId="0" borderId="98" xfId="0" applyNumberFormat="1" applyFont="1" applyFill="1" applyBorder="1"/>
    <xf numFmtId="44" fontId="12" fillId="0" borderId="30" xfId="1" applyNumberFormat="1" applyFont="1" applyFill="1" applyBorder="1"/>
    <xf numFmtId="44" fontId="9" fillId="0" borderId="26" xfId="0" applyNumberFormat="1" applyFont="1" applyBorder="1"/>
    <xf numFmtId="43" fontId="9" fillId="0" borderId="103" xfId="0" applyNumberFormat="1" applyFont="1" applyFill="1" applyBorder="1"/>
    <xf numFmtId="43" fontId="9" fillId="0" borderId="107" xfId="0" applyNumberFormat="1" applyFont="1" applyFill="1" applyBorder="1"/>
    <xf numFmtId="43" fontId="9" fillId="0" borderId="105" xfId="0" applyNumberFormat="1" applyFont="1" applyFill="1" applyBorder="1"/>
    <xf numFmtId="44" fontId="12" fillId="0" borderId="16" xfId="0" applyNumberFormat="1" applyFont="1" applyBorder="1" applyAlignment="1">
      <alignment vertical="center"/>
    </xf>
    <xf numFmtId="0" fontId="12" fillId="3" borderId="26" xfId="0" applyFont="1" applyFill="1" applyBorder="1" applyAlignment="1">
      <alignment horizontal="center"/>
    </xf>
    <xf numFmtId="0" fontId="18" fillId="3" borderId="26" xfId="0" applyFont="1" applyFill="1" applyBorder="1" applyAlignment="1">
      <alignment horizontal="center"/>
    </xf>
    <xf numFmtId="44" fontId="51" fillId="0" borderId="2" xfId="0" applyNumberFormat="1" applyFont="1" applyFill="1" applyBorder="1"/>
    <xf numFmtId="0" fontId="12" fillId="0" borderId="69" xfId="0" applyFont="1" applyBorder="1" applyAlignment="1">
      <alignment horizontal="left"/>
    </xf>
    <xf numFmtId="44" fontId="12" fillId="0" borderId="69" xfId="1" applyFont="1" applyBorder="1"/>
    <xf numFmtId="0" fontId="17" fillId="0" borderId="19" xfId="0" applyFont="1" applyBorder="1" applyAlignment="1">
      <alignment horizontal="center"/>
    </xf>
    <xf numFmtId="0" fontId="17" fillId="0" borderId="19" xfId="1" applyNumberFormat="1" applyFont="1" applyBorder="1" applyAlignment="1">
      <alignment horizontal="center"/>
    </xf>
    <xf numFmtId="44" fontId="15" fillId="0" borderId="2" xfId="1" applyNumberFormat="1" applyFont="1" applyFill="1" applyBorder="1"/>
    <xf numFmtId="0" fontId="22" fillId="0" borderId="20" xfId="0" applyFont="1" applyBorder="1" applyAlignment="1">
      <alignment wrapText="1"/>
    </xf>
    <xf numFmtId="0" fontId="22" fillId="0" borderId="20" xfId="0" applyFont="1" applyBorder="1" applyAlignment="1">
      <alignment horizontal="center"/>
    </xf>
    <xf numFmtId="0" fontId="22" fillId="0" borderId="20" xfId="0" applyFont="1" applyBorder="1"/>
    <xf numFmtId="0" fontId="22" fillId="0" borderId="46" xfId="0" applyFont="1" applyBorder="1" applyAlignment="1">
      <alignment horizontal="left"/>
    </xf>
    <xf numFmtId="44" fontId="12" fillId="0" borderId="1" xfId="0" applyNumberFormat="1" applyFont="1" applyBorder="1" applyAlignment="1">
      <alignment horizontal="left" vertical="center"/>
    </xf>
    <xf numFmtId="0" fontId="9" fillId="0" borderId="71" xfId="0" applyFont="1" applyFill="1" applyBorder="1"/>
    <xf numFmtId="166" fontId="9" fillId="0" borderId="1" xfId="0" applyNumberFormat="1" applyFont="1" applyFill="1" applyBorder="1" applyAlignment="1">
      <alignment horizontal="right"/>
    </xf>
    <xf numFmtId="166" fontId="9" fillId="0" borderId="20" xfId="0" applyNumberFormat="1" applyFont="1" applyFill="1" applyBorder="1" applyAlignment="1">
      <alignment horizontal="right"/>
    </xf>
    <xf numFmtId="44" fontId="9" fillId="0" borderId="33" xfId="0" applyNumberFormat="1" applyFont="1" applyBorder="1"/>
    <xf numFmtId="44" fontId="9" fillId="0" borderId="0" xfId="0" applyNumberFormat="1" applyFont="1" applyFill="1"/>
    <xf numFmtId="44" fontId="9" fillId="0" borderId="0" xfId="0" applyNumberFormat="1" applyFont="1" applyBorder="1"/>
    <xf numFmtId="44" fontId="9" fillId="0" borderId="0" xfId="0" applyNumberFormat="1" applyFont="1" applyFill="1" applyBorder="1"/>
    <xf numFmtId="0" fontId="50" fillId="0" borderId="0" xfId="0" applyFont="1" applyFill="1" applyBorder="1"/>
    <xf numFmtId="9" fontId="50" fillId="2" borderId="0" xfId="0" applyNumberFormat="1" applyFont="1" applyFill="1" applyBorder="1"/>
    <xf numFmtId="8" fontId="50" fillId="2" borderId="0" xfId="0" applyNumberFormat="1" applyFont="1" applyFill="1" applyBorder="1"/>
    <xf numFmtId="0" fontId="50" fillId="2" borderId="0" xfId="0" applyFont="1" applyFill="1" applyBorder="1"/>
    <xf numFmtId="0" fontId="9" fillId="2" borderId="0" xfId="0" applyFont="1" applyFill="1" applyBorder="1"/>
    <xf numFmtId="8" fontId="9" fillId="0" borderId="0" xfId="0" applyNumberFormat="1" applyFont="1" applyBorder="1"/>
    <xf numFmtId="0" fontId="9" fillId="0" borderId="1" xfId="0" applyFont="1" applyFill="1" applyBorder="1" applyAlignment="1">
      <alignment wrapText="1"/>
    </xf>
    <xf numFmtId="44" fontId="9" fillId="0" borderId="57" xfId="0" applyNumberFormat="1" applyFont="1" applyBorder="1"/>
    <xf numFmtId="44" fontId="11" fillId="0" borderId="3" xfId="0" applyNumberFormat="1" applyFont="1" applyFill="1" applyBorder="1"/>
    <xf numFmtId="44" fontId="9" fillId="0" borderId="3" xfId="0" applyNumberFormat="1" applyFont="1" applyFill="1" applyBorder="1" applyAlignment="1">
      <alignment horizontal="center"/>
    </xf>
    <xf numFmtId="44" fontId="9" fillId="0" borderId="58" xfId="0" applyNumberFormat="1" applyFont="1" applyFill="1" applyBorder="1"/>
    <xf numFmtId="44" fontId="9" fillId="0" borderId="60" xfId="0" applyNumberFormat="1" applyFont="1" applyBorder="1"/>
    <xf numFmtId="0" fontId="9" fillId="0" borderId="28" xfId="0" applyFont="1" applyBorder="1"/>
    <xf numFmtId="0" fontId="9" fillId="0" borderId="4" xfId="0" applyFont="1" applyBorder="1"/>
    <xf numFmtId="0" fontId="9" fillId="0" borderId="53" xfId="0" applyFont="1" applyBorder="1"/>
    <xf numFmtId="0" fontId="9" fillId="0" borderId="72" xfId="0" applyFont="1" applyBorder="1"/>
    <xf numFmtId="0" fontId="11" fillId="0" borderId="72" xfId="0" applyFont="1" applyBorder="1"/>
    <xf numFmtId="0" fontId="9" fillId="0" borderId="114" xfId="0" applyFont="1" applyBorder="1"/>
    <xf numFmtId="0" fontId="9" fillId="0" borderId="29" xfId="0" applyFont="1" applyBorder="1"/>
    <xf numFmtId="0" fontId="20" fillId="0" borderId="3" xfId="0" applyFont="1" applyBorder="1" applyAlignment="1">
      <alignment horizontal="right"/>
    </xf>
    <xf numFmtId="0" fontId="20" fillId="0" borderId="24" xfId="0" applyFont="1" applyBorder="1" applyAlignment="1">
      <alignment horizontal="right"/>
    </xf>
    <xf numFmtId="0" fontId="15" fillId="3" borderId="32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9" fontId="9" fillId="0" borderId="0" xfId="0" applyNumberFormat="1" applyFont="1" applyFill="1"/>
    <xf numFmtId="44" fontId="12" fillId="0" borderId="16" xfId="0" applyNumberFormat="1" applyFont="1" applyFill="1" applyBorder="1" applyAlignment="1">
      <alignment horizontal="center"/>
    </xf>
    <xf numFmtId="44" fontId="12" fillId="0" borderId="16" xfId="0" applyNumberFormat="1" applyFont="1" applyFill="1" applyBorder="1" applyAlignment="1">
      <alignment vertical="center"/>
    </xf>
    <xf numFmtId="44" fontId="12" fillId="0" borderId="16" xfId="1" applyFont="1" applyFill="1" applyBorder="1"/>
    <xf numFmtId="42" fontId="0" fillId="0" borderId="13" xfId="0" applyNumberFormat="1" applyBorder="1"/>
    <xf numFmtId="42" fontId="43" fillId="0" borderId="82" xfId="1" applyNumberFormat="1" applyFont="1" applyFill="1" applyBorder="1"/>
    <xf numFmtId="0" fontId="1" fillId="0" borderId="0" xfId="2" applyFont="1" applyBorder="1"/>
    <xf numFmtId="44" fontId="18" fillId="0" borderId="0" xfId="0" applyNumberFormat="1" applyFont="1" applyBorder="1"/>
    <xf numFmtId="44" fontId="15" fillId="0" borderId="0" xfId="0" applyNumberFormat="1" applyFont="1" applyBorder="1"/>
    <xf numFmtId="0" fontId="49" fillId="0" borderId="44" xfId="0" applyFont="1" applyFill="1" applyBorder="1"/>
    <xf numFmtId="0" fontId="9" fillId="0" borderId="44" xfId="0" applyFont="1" applyFill="1" applyBorder="1" applyAlignment="1">
      <alignment horizontal="center"/>
    </xf>
    <xf numFmtId="0" fontId="9" fillId="0" borderId="115" xfId="0" applyFont="1" applyFill="1" applyBorder="1"/>
    <xf numFmtId="0" fontId="9" fillId="0" borderId="90" xfId="0" applyFont="1" applyFill="1" applyBorder="1"/>
    <xf numFmtId="43" fontId="9" fillId="0" borderId="120" xfId="0" applyNumberFormat="1" applyFont="1" applyFill="1" applyBorder="1"/>
    <xf numFmtId="1" fontId="9" fillId="0" borderId="3" xfId="0" applyNumberFormat="1" applyFont="1" applyFill="1" applyBorder="1"/>
    <xf numFmtId="1" fontId="9" fillId="0" borderId="3" xfId="0" applyNumberFormat="1" applyFont="1" applyBorder="1"/>
    <xf numFmtId="1" fontId="9" fillId="0" borderId="90" xfId="0" applyNumberFormat="1" applyFont="1" applyBorder="1"/>
    <xf numFmtId="2" fontId="9" fillId="0" borderId="3" xfId="0" applyNumberFormat="1" applyFont="1" applyFill="1" applyBorder="1"/>
    <xf numFmtId="2" fontId="9" fillId="0" borderId="11" xfId="0" applyNumberFormat="1" applyFont="1" applyFill="1" applyBorder="1"/>
    <xf numFmtId="2" fontId="9" fillId="0" borderId="11" xfId="0" applyNumberFormat="1" applyFont="1" applyBorder="1"/>
    <xf numFmtId="2" fontId="9" fillId="0" borderId="90" xfId="0" applyNumberFormat="1" applyFont="1" applyBorder="1"/>
    <xf numFmtId="164" fontId="9" fillId="0" borderId="35" xfId="0" applyNumberFormat="1" applyFont="1" applyBorder="1"/>
    <xf numFmtId="164" fontId="9" fillId="0" borderId="91" xfId="0" applyNumberFormat="1" applyFont="1" applyBorder="1"/>
    <xf numFmtId="3" fontId="9" fillId="0" borderId="35" xfId="0" applyNumberFormat="1" applyFont="1" applyBorder="1"/>
    <xf numFmtId="44" fontId="12" fillId="0" borderId="22" xfId="1" applyNumberFormat="1" applyFont="1" applyBorder="1" applyAlignment="1">
      <alignment horizontal="left"/>
    </xf>
    <xf numFmtId="44" fontId="12" fillId="0" borderId="30" xfId="1" applyNumberFormat="1" applyFont="1" applyBorder="1"/>
    <xf numFmtId="0" fontId="12" fillId="0" borderId="73" xfId="0" applyFont="1" applyBorder="1"/>
    <xf numFmtId="0" fontId="12" fillId="0" borderId="31" xfId="0" applyFont="1" applyBorder="1"/>
    <xf numFmtId="0" fontId="17" fillId="3" borderId="32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2" fillId="0" borderId="40" xfId="0" applyFont="1" applyBorder="1" applyAlignment="1">
      <alignment horizontal="left"/>
    </xf>
    <xf numFmtId="0" fontId="15" fillId="0" borderId="3" xfId="0" applyFont="1" applyFill="1" applyBorder="1"/>
    <xf numFmtId="44" fontId="12" fillId="0" borderId="16" xfId="1" applyNumberFormat="1" applyFont="1" applyFill="1" applyBorder="1" applyAlignment="1">
      <alignment horizontal="left"/>
    </xf>
    <xf numFmtId="0" fontId="9" fillId="0" borderId="68" xfId="0" applyFont="1" applyFill="1" applyBorder="1" applyAlignment="1">
      <alignment horizontal="center"/>
    </xf>
    <xf numFmtId="44" fontId="9" fillId="0" borderId="68" xfId="0" applyNumberFormat="1" applyFont="1" applyFill="1" applyBorder="1" applyAlignment="1">
      <alignment horizontal="center"/>
    </xf>
    <xf numFmtId="164" fontId="0" fillId="0" borderId="68" xfId="0" applyNumberForma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122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123" xfId="0" applyFill="1" applyBorder="1" applyAlignment="1">
      <alignment horizontal="center"/>
    </xf>
    <xf numFmtId="44" fontId="52" fillId="8" borderId="15" xfId="0" applyNumberFormat="1" applyFont="1" applyFill="1" applyBorder="1"/>
    <xf numFmtId="44" fontId="9" fillId="8" borderId="2" xfId="0" applyNumberFormat="1" applyFont="1" applyFill="1" applyBorder="1"/>
    <xf numFmtId="43" fontId="9" fillId="8" borderId="98" xfId="0" applyNumberFormat="1" applyFont="1" applyFill="1" applyBorder="1"/>
    <xf numFmtId="43" fontId="9" fillId="8" borderId="116" xfId="0" applyNumberFormat="1" applyFont="1" applyFill="1" applyBorder="1"/>
    <xf numFmtId="44" fontId="12" fillId="0" borderId="0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30" xfId="0" applyFont="1" applyBorder="1"/>
    <xf numFmtId="1" fontId="9" fillId="3" borderId="3" xfId="0" applyNumberFormat="1" applyFont="1" applyFill="1" applyBorder="1"/>
    <xf numFmtId="2" fontId="9" fillId="3" borderId="3" xfId="0" applyNumberFormat="1" applyFont="1" applyFill="1" applyBorder="1"/>
    <xf numFmtId="166" fontId="9" fillId="0" borderId="1" xfId="0" applyNumberFormat="1" applyFont="1" applyFill="1" applyBorder="1"/>
    <xf numFmtId="0" fontId="12" fillId="0" borderId="1" xfId="0" applyFont="1" applyBorder="1"/>
    <xf numFmtId="44" fontId="12" fillId="0" borderId="76" xfId="0" applyNumberFormat="1" applyFont="1" applyFill="1" applyBorder="1"/>
    <xf numFmtId="0" fontId="4" fillId="0" borderId="47" xfId="0" applyFont="1" applyFill="1" applyBorder="1" applyAlignment="1"/>
    <xf numFmtId="44" fontId="4" fillId="0" borderId="49" xfId="0" applyNumberFormat="1" applyFont="1" applyFill="1" applyBorder="1" applyAlignment="1"/>
    <xf numFmtId="2" fontId="9" fillId="3" borderId="11" xfId="0" applyNumberFormat="1" applyFont="1" applyFill="1" applyBorder="1"/>
    <xf numFmtId="42" fontId="0" fillId="0" borderId="0" xfId="0" applyNumberFormat="1" applyBorder="1"/>
    <xf numFmtId="42" fontId="43" fillId="0" borderId="2" xfId="1" quotePrefix="1" applyNumberFormat="1" applyFont="1" applyFill="1" applyBorder="1"/>
    <xf numFmtId="42" fontId="43" fillId="0" borderId="15" xfId="1" applyNumberFormat="1" applyFont="1" applyFill="1" applyBorder="1"/>
    <xf numFmtId="42" fontId="43" fillId="0" borderId="33" xfId="1" applyNumberFormat="1" applyFont="1" applyFill="1" applyBorder="1"/>
    <xf numFmtId="42" fontId="43" fillId="0" borderId="2" xfId="1" applyNumberFormat="1" applyFont="1" applyFill="1" applyBorder="1" applyAlignment="1">
      <alignment horizontal="right"/>
    </xf>
    <xf numFmtId="42" fontId="43" fillId="0" borderId="2" xfId="1" applyNumberFormat="1" applyFont="1" applyFill="1" applyBorder="1"/>
    <xf numFmtId="42" fontId="43" fillId="0" borderId="7" xfId="1" applyNumberFormat="1" applyFont="1" applyFill="1" applyBorder="1"/>
    <xf numFmtId="42" fontId="30" fillId="0" borderId="0" xfId="0" applyNumberFormat="1" applyFont="1"/>
    <xf numFmtId="42" fontId="0" fillId="0" borderId="111" xfId="0" applyNumberFormat="1" applyBorder="1" applyAlignment="1">
      <alignment vertical="center"/>
    </xf>
    <xf numFmtId="0" fontId="9" fillId="0" borderId="17" xfId="0" applyNumberFormat="1" applyFont="1" applyBorder="1" applyAlignment="1">
      <alignment horizontal="center"/>
    </xf>
    <xf numFmtId="42" fontId="43" fillId="0" borderId="48" xfId="0" applyNumberFormat="1" applyFont="1" applyBorder="1"/>
    <xf numFmtId="0" fontId="9" fillId="0" borderId="47" xfId="0" applyNumberFormat="1" applyFont="1" applyBorder="1" applyAlignment="1">
      <alignment horizontal="center"/>
    </xf>
    <xf numFmtId="0" fontId="9" fillId="0" borderId="48" xfId="0" applyFont="1" applyBorder="1"/>
    <xf numFmtId="44" fontId="9" fillId="0" borderId="3" xfId="0" applyNumberFormat="1" applyFont="1" applyBorder="1"/>
    <xf numFmtId="0" fontId="21" fillId="0" borderId="3" xfId="0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3" xfId="0" applyFont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56" fillId="0" borderId="0" xfId="0" applyFont="1"/>
    <xf numFmtId="42" fontId="56" fillId="0" borderId="13" xfId="0" applyNumberFormat="1" applyFont="1" applyBorder="1"/>
    <xf numFmtId="42" fontId="56" fillId="0" borderId="0" xfId="0" applyNumberFormat="1" applyFont="1" applyFill="1" applyBorder="1" applyAlignment="1">
      <alignment horizontal="left"/>
    </xf>
    <xf numFmtId="42" fontId="56" fillId="0" borderId="0" xfId="0" applyNumberFormat="1" applyFont="1"/>
    <xf numFmtId="42" fontId="55" fillId="0" borderId="124" xfId="0" applyNumberFormat="1" applyFont="1" applyBorder="1" applyAlignment="1">
      <alignment horizontal="left" vertical="center"/>
    </xf>
    <xf numFmtId="0" fontId="14" fillId="0" borderId="87" xfId="0" applyFont="1" applyBorder="1" applyAlignment="1">
      <alignment horizontal="left"/>
    </xf>
    <xf numFmtId="42" fontId="0" fillId="0" borderId="111" xfId="0" applyNumberFormat="1" applyBorder="1"/>
    <xf numFmtId="42" fontId="56" fillId="0" borderId="3" xfId="0" applyNumberFormat="1" applyFont="1" applyBorder="1" applyAlignment="1">
      <alignment horizontal="left"/>
    </xf>
    <xf numFmtId="42" fontId="56" fillId="0" borderId="3" xfId="0" applyNumberFormat="1" applyFont="1" applyFill="1" applyBorder="1" applyAlignment="1">
      <alignment horizontal="left"/>
    </xf>
    <xf numFmtId="42" fontId="56" fillId="0" borderId="3" xfId="0" applyNumberFormat="1" applyFont="1" applyFill="1" applyBorder="1" applyAlignment="1"/>
    <xf numFmtId="42" fontId="56" fillId="0" borderId="100" xfId="0" applyNumberFormat="1" applyFont="1" applyBorder="1" applyAlignment="1">
      <alignment horizontal="left" vertical="center"/>
    </xf>
    <xf numFmtId="42" fontId="56" fillId="0" borderId="6" xfId="0" applyNumberFormat="1" applyFont="1" applyBorder="1" applyAlignment="1">
      <alignment horizontal="left"/>
    </xf>
    <xf numFmtId="42" fontId="56" fillId="0" borderId="24" xfId="0" applyNumberFormat="1" applyFont="1" applyBorder="1" applyAlignment="1">
      <alignment horizontal="left"/>
    </xf>
    <xf numFmtId="42" fontId="56" fillId="0" borderId="24" xfId="0" applyNumberFormat="1" applyFont="1" applyFill="1" applyBorder="1" applyAlignment="1">
      <alignment horizontal="left"/>
    </xf>
    <xf numFmtId="42" fontId="56" fillId="0" borderId="6" xfId="0" applyNumberFormat="1" applyFont="1" applyFill="1" applyBorder="1" applyAlignment="1">
      <alignment horizontal="left"/>
    </xf>
    <xf numFmtId="44" fontId="12" fillId="0" borderId="16" xfId="1" applyNumberFormat="1" applyFont="1" applyFill="1" applyBorder="1" applyAlignment="1">
      <alignment horizontal="center"/>
    </xf>
    <xf numFmtId="44" fontId="12" fillId="0" borderId="19" xfId="1" applyFont="1" applyFill="1" applyBorder="1" applyAlignment="1">
      <alignment horizontal="left"/>
    </xf>
    <xf numFmtId="44" fontId="12" fillId="0" borderId="46" xfId="0" applyNumberFormat="1" applyFont="1" applyFill="1" applyBorder="1"/>
    <xf numFmtId="0" fontId="17" fillId="0" borderId="16" xfId="0" applyFont="1" applyFill="1" applyBorder="1" applyAlignment="1">
      <alignment horizontal="center" vertical="center"/>
    </xf>
    <xf numFmtId="42" fontId="56" fillId="0" borderId="48" xfId="0" applyNumberFormat="1" applyFont="1" applyBorder="1"/>
    <xf numFmtId="0" fontId="14" fillId="0" borderId="13" xfId="0" applyFont="1" applyBorder="1" applyAlignment="1">
      <alignment vertical="top"/>
    </xf>
    <xf numFmtId="42" fontId="56" fillId="0" borderId="13" xfId="0" applyNumberFormat="1" applyFont="1" applyBorder="1" applyAlignment="1">
      <alignment vertical="center"/>
    </xf>
    <xf numFmtId="42" fontId="56" fillId="0" borderId="8" xfId="0" applyNumberFormat="1" applyFont="1" applyFill="1" applyBorder="1" applyAlignment="1">
      <alignment horizontal="left"/>
    </xf>
    <xf numFmtId="0" fontId="5" fillId="0" borderId="26" xfId="2" applyFont="1" applyBorder="1" applyAlignment="1">
      <alignment horizontal="center"/>
    </xf>
    <xf numFmtId="0" fontId="4" fillId="0" borderId="26" xfId="2" applyFont="1" applyBorder="1" applyAlignment="1"/>
    <xf numFmtId="0" fontId="13" fillId="0" borderId="47" xfId="0" applyFon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40" fillId="0" borderId="0" xfId="0" applyFont="1" applyAlignment="1"/>
    <xf numFmtId="0" fontId="0" fillId="0" borderId="38" xfId="0" applyFill="1" applyBorder="1" applyAlignment="1">
      <alignment horizontal="center"/>
    </xf>
    <xf numFmtId="0" fontId="9" fillId="0" borderId="125" xfId="0" applyFont="1" applyBorder="1" applyAlignment="1">
      <alignment horizontal="center"/>
    </xf>
    <xf numFmtId="0" fontId="21" fillId="0" borderId="126" xfId="0" applyFont="1" applyBorder="1" applyAlignment="1">
      <alignment horizontal="center"/>
    </xf>
    <xf numFmtId="44" fontId="9" fillId="0" borderId="122" xfId="0" applyNumberFormat="1" applyFont="1" applyFill="1" applyBorder="1" applyAlignment="1">
      <alignment horizontal="center"/>
    </xf>
    <xf numFmtId="0" fontId="9" fillId="0" borderId="122" xfId="0" applyFont="1" applyFill="1" applyBorder="1" applyAlignment="1">
      <alignment horizontal="center"/>
    </xf>
    <xf numFmtId="42" fontId="9" fillId="0" borderId="16" xfId="0" applyNumberFormat="1" applyFont="1" applyFill="1" applyBorder="1"/>
    <xf numFmtId="2" fontId="9" fillId="0" borderId="8" xfId="0" applyNumberFormat="1" applyFont="1" applyFill="1" applyBorder="1"/>
    <xf numFmtId="164" fontId="9" fillId="0" borderId="35" xfId="0" applyNumberFormat="1" applyFont="1" applyFill="1" applyBorder="1"/>
    <xf numFmtId="0" fontId="15" fillId="0" borderId="0" xfId="0" applyFont="1" applyFill="1" applyAlignment="1">
      <alignment horizontal="right"/>
    </xf>
    <xf numFmtId="168" fontId="0" fillId="0" borderId="0" xfId="0" applyNumberFormat="1"/>
    <xf numFmtId="2" fontId="0" fillId="0" borderId="0" xfId="0" applyNumberFormat="1"/>
    <xf numFmtId="164" fontId="4" fillId="0" borderId="26" xfId="2" applyNumberFormat="1" applyFont="1" applyBorder="1" applyAlignment="1">
      <alignment horizontal="center"/>
    </xf>
    <xf numFmtId="2" fontId="9" fillId="0" borderId="24" xfId="0" applyNumberFormat="1" applyFont="1" applyFill="1" applyBorder="1"/>
    <xf numFmtId="2" fontId="9" fillId="0" borderId="6" xfId="0" applyNumberFormat="1" applyFont="1" applyFill="1" applyBorder="1"/>
    <xf numFmtId="43" fontId="15" fillId="0" borderId="0" xfId="0" applyNumberFormat="1" applyFont="1" applyBorder="1"/>
    <xf numFmtId="0" fontId="18" fillId="3" borderId="25" xfId="0" applyFont="1" applyFill="1" applyBorder="1" applyAlignment="1">
      <alignment horizontal="center" vertical="center"/>
    </xf>
    <xf numFmtId="42" fontId="12" fillId="0" borderId="16" xfId="0" applyNumberFormat="1" applyFont="1" applyFill="1" applyBorder="1" applyAlignment="1">
      <alignment vertical="center"/>
    </xf>
    <xf numFmtId="42" fontId="12" fillId="0" borderId="16" xfId="0" applyNumberFormat="1" applyFont="1" applyBorder="1" applyAlignment="1">
      <alignment vertical="center"/>
    </xf>
    <xf numFmtId="42" fontId="12" fillId="0" borderId="16" xfId="0" applyNumberFormat="1" applyFont="1" applyBorder="1"/>
    <xf numFmtId="42" fontId="12" fillId="0" borderId="16" xfId="0" applyNumberFormat="1" applyFont="1" applyFill="1" applyBorder="1"/>
    <xf numFmtId="42" fontId="12" fillId="0" borderId="46" xfId="0" applyNumberFormat="1" applyFont="1" applyBorder="1"/>
    <xf numFmtId="42" fontId="12" fillId="0" borderId="46" xfId="0" applyNumberFormat="1" applyFont="1" applyFill="1" applyBorder="1"/>
    <xf numFmtId="42" fontId="12" fillId="0" borderId="26" xfId="0" applyNumberFormat="1" applyFont="1" applyBorder="1" applyAlignment="1">
      <alignment horizontal="center"/>
    </xf>
    <xf numFmtId="42" fontId="12" fillId="0" borderId="26" xfId="0" applyNumberFormat="1" applyFont="1" applyFill="1" applyBorder="1" applyAlignment="1">
      <alignment horizontal="center"/>
    </xf>
    <xf numFmtId="42" fontId="24" fillId="0" borderId="0" xfId="0" applyNumberFormat="1" applyFont="1" applyFill="1" applyBorder="1"/>
    <xf numFmtId="42" fontId="18" fillId="0" borderId="0" xfId="0" applyNumberFormat="1" applyFont="1" applyFill="1" applyBorder="1" applyAlignment="1">
      <alignment vertical="center"/>
    </xf>
    <xf numFmtId="42" fontId="18" fillId="0" borderId="0" xfId="0" applyNumberFormat="1" applyFont="1" applyFill="1" applyBorder="1"/>
    <xf numFmtId="42" fontId="18" fillId="0" borderId="0" xfId="0" applyNumberFormat="1" applyFont="1" applyBorder="1"/>
    <xf numFmtId="42" fontId="12" fillId="0" borderId="16" xfId="0" applyNumberFormat="1" applyFont="1" applyFill="1" applyBorder="1" applyAlignment="1">
      <alignment horizontal="center"/>
    </xf>
    <xf numFmtId="42" fontId="12" fillId="0" borderId="16" xfId="0" applyNumberFormat="1" applyFont="1" applyBorder="1" applyAlignment="1">
      <alignment horizontal="center"/>
    </xf>
    <xf numFmtId="42" fontId="12" fillId="0" borderId="19" xfId="0" applyNumberFormat="1" applyFont="1" applyBorder="1" applyAlignment="1">
      <alignment horizontal="center"/>
    </xf>
    <xf numFmtId="42" fontId="12" fillId="0" borderId="19" xfId="0" applyNumberFormat="1" applyFont="1" applyFill="1" applyBorder="1" applyAlignment="1">
      <alignment horizontal="center"/>
    </xf>
    <xf numFmtId="42" fontId="12" fillId="0" borderId="21" xfId="0" applyNumberFormat="1" applyFont="1" applyBorder="1" applyAlignment="1">
      <alignment horizontal="center"/>
    </xf>
    <xf numFmtId="42" fontId="12" fillId="0" borderId="21" xfId="0" applyNumberFormat="1" applyFont="1" applyFill="1" applyBorder="1" applyAlignment="1">
      <alignment horizontal="center"/>
    </xf>
    <xf numFmtId="42" fontId="15" fillId="0" borderId="0" xfId="0" applyNumberFormat="1" applyFont="1" applyBorder="1"/>
    <xf numFmtId="44" fontId="57" fillId="0" borderId="16" xfId="1" applyFont="1" applyBorder="1" applyAlignment="1">
      <alignment horizontal="center" wrapText="1"/>
    </xf>
    <xf numFmtId="44" fontId="57" fillId="0" borderId="20" xfId="1" applyFont="1" applyBorder="1" applyAlignment="1">
      <alignment horizontal="center" wrapText="1"/>
    </xf>
    <xf numFmtId="44" fontId="57" fillId="0" borderId="1" xfId="1" applyFont="1" applyBorder="1" applyAlignment="1">
      <alignment horizontal="center"/>
    </xf>
    <xf numFmtId="44" fontId="57" fillId="0" borderId="2" xfId="1" applyFont="1" applyBorder="1" applyAlignment="1">
      <alignment horizontal="center"/>
    </xf>
    <xf numFmtId="44" fontId="12" fillId="0" borderId="20" xfId="0" applyNumberFormat="1" applyFont="1" applyBorder="1" applyAlignment="1">
      <alignment horizontal="center"/>
    </xf>
    <xf numFmtId="42" fontId="12" fillId="0" borderId="20" xfId="0" applyNumberFormat="1" applyFont="1" applyBorder="1" applyAlignment="1">
      <alignment horizontal="center"/>
    </xf>
    <xf numFmtId="42" fontId="12" fillId="0" borderId="1" xfId="0" applyNumberFormat="1" applyFont="1" applyBorder="1" applyAlignment="1">
      <alignment horizontal="center"/>
    </xf>
    <xf numFmtId="42" fontId="12" fillId="0" borderId="2" xfId="0" applyNumberFormat="1" applyFont="1" applyBorder="1" applyAlignment="1">
      <alignment horizontal="center"/>
    </xf>
    <xf numFmtId="42" fontId="12" fillId="9" borderId="1" xfId="0" applyNumberFormat="1" applyFont="1" applyFill="1" applyBorder="1" applyAlignment="1">
      <alignment horizontal="center"/>
    </xf>
    <xf numFmtId="42" fontId="12" fillId="9" borderId="2" xfId="0" applyNumberFormat="1" applyFont="1" applyFill="1" applyBorder="1" applyAlignment="1">
      <alignment horizontal="center"/>
    </xf>
    <xf numFmtId="44" fontId="12" fillId="0" borderId="20" xfId="0" applyNumberFormat="1" applyFont="1" applyBorder="1"/>
    <xf numFmtId="42" fontId="12" fillId="0" borderId="0" xfId="0" applyNumberFormat="1" applyFont="1" applyBorder="1"/>
    <xf numFmtId="42" fontId="12" fillId="9" borderId="1" xfId="0" applyNumberFormat="1" applyFont="1" applyFill="1" applyBorder="1"/>
    <xf numFmtId="42" fontId="12" fillId="9" borderId="2" xfId="0" applyNumberFormat="1" applyFont="1" applyFill="1" applyBorder="1"/>
    <xf numFmtId="42" fontId="12" fillId="0" borderId="22" xfId="0" applyNumberFormat="1" applyFont="1" applyBorder="1" applyAlignment="1">
      <alignment horizontal="center" wrapText="1"/>
    </xf>
    <xf numFmtId="42" fontId="3" fillId="0" borderId="88" xfId="0" applyNumberFormat="1" applyFont="1" applyBorder="1" applyAlignment="1">
      <alignment horizontal="center" wrapText="1"/>
    </xf>
    <xf numFmtId="42" fontId="12" fillId="0" borderId="1" xfId="0" applyNumberFormat="1" applyFont="1" applyFill="1" applyBorder="1"/>
    <xf numFmtId="42" fontId="12" fillId="0" borderId="2" xfId="0" applyNumberFormat="1" applyFont="1" applyFill="1" applyBorder="1"/>
    <xf numFmtId="44" fontId="12" fillId="0" borderId="1" xfId="0" applyNumberFormat="1" applyFont="1" applyBorder="1"/>
    <xf numFmtId="42" fontId="12" fillId="0" borderId="1" xfId="0" applyNumberFormat="1" applyFont="1" applyBorder="1"/>
    <xf numFmtId="0" fontId="12" fillId="0" borderId="52" xfId="0" applyFont="1" applyBorder="1" applyAlignment="1"/>
    <xf numFmtId="44" fontId="12" fillId="0" borderId="40" xfId="0" applyNumberFormat="1" applyFont="1" applyBorder="1"/>
    <xf numFmtId="44" fontId="12" fillId="0" borderId="52" xfId="0" applyNumberFormat="1" applyFont="1" applyBorder="1"/>
    <xf numFmtId="42" fontId="12" fillId="0" borderId="52" xfId="0" applyNumberFormat="1" applyFont="1" applyBorder="1"/>
    <xf numFmtId="42" fontId="12" fillId="0" borderId="93" xfId="0" applyNumberFormat="1" applyFont="1" applyFill="1" applyBorder="1"/>
    <xf numFmtId="42" fontId="12" fillId="0" borderId="94" xfId="0" applyNumberFormat="1" applyFont="1" applyFill="1" applyBorder="1"/>
    <xf numFmtId="44" fontId="12" fillId="0" borderId="75" xfId="1" applyFont="1" applyBorder="1" applyAlignment="1">
      <alignment horizontal="center"/>
    </xf>
    <xf numFmtId="42" fontId="12" fillId="0" borderId="75" xfId="1" applyNumberFormat="1" applyFont="1" applyBorder="1" applyAlignment="1">
      <alignment horizontal="center"/>
    </xf>
    <xf numFmtId="42" fontId="12" fillId="0" borderId="92" xfId="1" applyNumberFormat="1" applyFont="1" applyFill="1" applyBorder="1" applyAlignment="1">
      <alignment horizontal="center"/>
    </xf>
    <xf numFmtId="42" fontId="12" fillId="0" borderId="55" xfId="1" applyNumberFormat="1" applyFont="1" applyFill="1" applyBorder="1" applyAlignment="1">
      <alignment horizontal="center"/>
    </xf>
    <xf numFmtId="42" fontId="26" fillId="0" borderId="16" xfId="0" applyNumberFormat="1" applyFont="1" applyBorder="1" applyAlignment="1">
      <alignment horizontal="center"/>
    </xf>
    <xf numFmtId="42" fontId="17" fillId="0" borderId="16" xfId="0" applyNumberFormat="1" applyFont="1" applyBorder="1" applyAlignment="1">
      <alignment horizontal="center"/>
    </xf>
    <xf numFmtId="42" fontId="12" fillId="0" borderId="40" xfId="0" applyNumberFormat="1" applyFont="1" applyBorder="1" applyAlignment="1">
      <alignment horizontal="center"/>
    </xf>
    <xf numFmtId="42" fontId="12" fillId="0" borderId="40" xfId="0" applyNumberFormat="1" applyFont="1" applyFill="1" applyBorder="1" applyAlignment="1">
      <alignment horizontal="center"/>
    </xf>
    <xf numFmtId="42" fontId="27" fillId="0" borderId="16" xfId="0" applyNumberFormat="1" applyFont="1" applyBorder="1" applyAlignment="1">
      <alignment horizontal="center"/>
    </xf>
    <xf numFmtId="42" fontId="9" fillId="0" borderId="16" xfId="0" applyNumberFormat="1" applyFont="1" applyBorder="1" applyAlignment="1">
      <alignment horizontal="center"/>
    </xf>
    <xf numFmtId="42" fontId="9" fillId="0" borderId="16" xfId="0" applyNumberFormat="1" applyFont="1" applyFill="1" applyBorder="1" applyAlignment="1">
      <alignment horizontal="center"/>
    </xf>
    <xf numFmtId="42" fontId="17" fillId="0" borderId="16" xfId="1" applyNumberFormat="1" applyFont="1" applyBorder="1" applyAlignment="1">
      <alignment horizontal="center"/>
    </xf>
    <xf numFmtId="42" fontId="27" fillId="0" borderId="16" xfId="1" applyNumberFormat="1" applyFont="1" applyBorder="1"/>
    <xf numFmtId="42" fontId="12" fillId="0" borderId="16" xfId="1" applyNumberFormat="1" applyFont="1" applyFill="1" applyBorder="1"/>
    <xf numFmtId="42" fontId="27" fillId="0" borderId="16" xfId="1" applyNumberFormat="1" applyFont="1" applyFill="1" applyBorder="1"/>
    <xf numFmtId="42" fontId="12" fillId="0" borderId="19" xfId="1" applyNumberFormat="1" applyFont="1" applyBorder="1" applyAlignment="1">
      <alignment horizontal="left"/>
    </xf>
    <xf numFmtId="42" fontId="12" fillId="0" borderId="19" xfId="1" applyNumberFormat="1" applyFont="1" applyFill="1" applyBorder="1" applyAlignment="1">
      <alignment horizontal="left"/>
    </xf>
    <xf numFmtId="42" fontId="12" fillId="0" borderId="21" xfId="1" applyNumberFormat="1" applyFont="1" applyBorder="1"/>
    <xf numFmtId="42" fontId="12" fillId="0" borderId="21" xfId="1" applyNumberFormat="1" applyFont="1" applyFill="1" applyBorder="1"/>
    <xf numFmtId="42" fontId="26" fillId="0" borderId="16" xfId="1" applyNumberFormat="1" applyFont="1" applyBorder="1" applyAlignment="1">
      <alignment horizontal="center"/>
    </xf>
    <xf numFmtId="42" fontId="12" fillId="0" borderId="16" xfId="1" applyNumberFormat="1" applyFont="1" applyBorder="1"/>
    <xf numFmtId="42" fontId="12" fillId="0" borderId="16" xfId="1" applyNumberFormat="1" applyFont="1" applyBorder="1" applyAlignment="1">
      <alignment horizontal="center"/>
    </xf>
    <xf numFmtId="42" fontId="12" fillId="0" borderId="19" xfId="1" applyNumberFormat="1" applyFont="1" applyBorder="1" applyAlignment="1">
      <alignment horizontal="center"/>
    </xf>
    <xf numFmtId="42" fontId="12" fillId="0" borderId="19" xfId="1" applyNumberFormat="1" applyFont="1" applyFill="1" applyBorder="1" applyAlignment="1">
      <alignment horizontal="center"/>
    </xf>
    <xf numFmtId="42" fontId="12" fillId="0" borderId="16" xfId="1" applyNumberFormat="1" applyFont="1" applyFill="1" applyBorder="1" applyAlignment="1">
      <alignment horizontal="center"/>
    </xf>
    <xf numFmtId="42" fontId="12" fillId="0" borderId="16" xfId="1" applyNumberFormat="1" applyFont="1" applyBorder="1" applyAlignment="1">
      <alignment horizontal="left"/>
    </xf>
    <xf numFmtId="42" fontId="12" fillId="0" borderId="31" xfId="0" applyNumberFormat="1" applyFont="1" applyBorder="1"/>
    <xf numFmtId="42" fontId="12" fillId="0" borderId="31" xfId="0" applyNumberFormat="1" applyFont="1" applyFill="1" applyBorder="1"/>
    <xf numFmtId="42" fontId="12" fillId="0" borderId="30" xfId="0" applyNumberFormat="1" applyFont="1" applyBorder="1"/>
    <xf numFmtId="42" fontId="12" fillId="0" borderId="30" xfId="1" applyNumberFormat="1" applyFont="1" applyBorder="1" applyAlignment="1">
      <alignment horizontal="left"/>
    </xf>
    <xf numFmtId="42" fontId="12" fillId="0" borderId="30" xfId="1" applyNumberFormat="1" applyFont="1" applyFill="1" applyBorder="1"/>
    <xf numFmtId="42" fontId="12" fillId="0" borderId="30" xfId="0" applyNumberFormat="1" applyFont="1" applyFill="1" applyBorder="1"/>
    <xf numFmtId="42" fontId="12" fillId="0" borderId="26" xfId="0" applyNumberFormat="1" applyFont="1" applyBorder="1"/>
    <xf numFmtId="42" fontId="12" fillId="0" borderId="26" xfId="0" applyNumberFormat="1" applyFont="1" applyFill="1" applyBorder="1"/>
    <xf numFmtId="42" fontId="17" fillId="0" borderId="16" xfId="0" applyNumberFormat="1" applyFont="1" applyFill="1" applyBorder="1" applyAlignment="1">
      <alignment horizontal="center"/>
    </xf>
    <xf numFmtId="42" fontId="9" fillId="0" borderId="16" xfId="1" applyNumberFormat="1" applyFont="1" applyBorder="1"/>
    <xf numFmtId="42" fontId="9" fillId="0" borderId="76" xfId="0" applyNumberFormat="1" applyFont="1" applyBorder="1"/>
    <xf numFmtId="42" fontId="14" fillId="0" borderId="16" xfId="0" applyNumberFormat="1" applyFont="1" applyFill="1" applyBorder="1" applyAlignment="1">
      <alignment horizontal="center"/>
    </xf>
    <xf numFmtId="42" fontId="26" fillId="0" borderId="16" xfId="1" applyNumberFormat="1" applyFont="1" applyBorder="1" applyAlignment="1"/>
    <xf numFmtId="42" fontId="26" fillId="0" borderId="16" xfId="1" applyNumberFormat="1" applyFont="1" applyBorder="1"/>
    <xf numFmtId="42" fontId="12" fillId="0" borderId="76" xfId="1" applyNumberFormat="1" applyFont="1" applyBorder="1" applyAlignment="1">
      <alignment horizontal="left"/>
    </xf>
    <xf numFmtId="42" fontId="12" fillId="0" borderId="21" xfId="1" applyNumberFormat="1" applyFont="1" applyFill="1" applyBorder="1" applyAlignment="1">
      <alignment horizontal="left"/>
    </xf>
    <xf numFmtId="42" fontId="9" fillId="0" borderId="19" xfId="0" applyNumberFormat="1" applyFont="1" applyBorder="1"/>
    <xf numFmtId="42" fontId="12" fillId="0" borderId="2" xfId="0" applyNumberFormat="1" applyFont="1" applyBorder="1" applyAlignment="1">
      <alignment horizontal="center" vertical="center"/>
    </xf>
    <xf numFmtId="42" fontId="12" fillId="0" borderId="2" xfId="0" applyNumberFormat="1" applyFont="1" applyFill="1" applyBorder="1" applyAlignment="1">
      <alignment horizontal="center" vertical="center"/>
    </xf>
    <xf numFmtId="42" fontId="9" fillId="0" borderId="19" xfId="0" applyNumberFormat="1" applyFont="1" applyBorder="1" applyAlignment="1">
      <alignment horizontal="center"/>
    </xf>
    <xf numFmtId="42" fontId="9" fillId="0" borderId="16" xfId="1" applyNumberFormat="1" applyFont="1" applyBorder="1" applyAlignment="1">
      <alignment horizontal="left"/>
    </xf>
    <xf numFmtId="42" fontId="12" fillId="0" borderId="19" xfId="0" applyNumberFormat="1" applyFont="1" applyBorder="1"/>
    <xf numFmtId="42" fontId="12" fillId="0" borderId="21" xfId="0" applyNumberFormat="1" applyFont="1" applyBorder="1"/>
    <xf numFmtId="42" fontId="9" fillId="0" borderId="21" xfId="1" applyNumberFormat="1" applyFont="1" applyBorder="1" applyAlignment="1">
      <alignment horizontal="left"/>
    </xf>
    <xf numFmtId="42" fontId="12" fillId="0" borderId="69" xfId="1" applyNumberFormat="1" applyFont="1" applyBorder="1"/>
    <xf numFmtId="42" fontId="12" fillId="0" borderId="19" xfId="1" applyNumberFormat="1" applyFont="1" applyBorder="1"/>
    <xf numFmtId="42" fontId="12" fillId="0" borderId="21" xfId="1" applyNumberFormat="1" applyFont="1" applyBorder="1" applyAlignment="1">
      <alignment horizontal="center"/>
    </xf>
    <xf numFmtId="42" fontId="9" fillId="0" borderId="21" xfId="0" applyNumberFormat="1" applyFont="1" applyBorder="1" applyAlignment="1">
      <alignment horizontal="center"/>
    </xf>
    <xf numFmtId="42" fontId="9" fillId="0" borderId="19" xfId="1" applyNumberFormat="1" applyFont="1" applyBorder="1" applyAlignment="1">
      <alignment horizontal="left"/>
    </xf>
    <xf numFmtId="42" fontId="27" fillId="0" borderId="16" xfId="1" applyNumberFormat="1" applyFont="1" applyBorder="1" applyAlignment="1">
      <alignment horizontal="center"/>
    </xf>
    <xf numFmtId="42" fontId="12" fillId="0" borderId="16" xfId="1" applyNumberFormat="1" applyFont="1" applyBorder="1" applyAlignment="1"/>
    <xf numFmtId="42" fontId="12" fillId="0" borderId="16" xfId="1" applyNumberFormat="1" applyFont="1" applyFill="1" applyBorder="1" applyAlignment="1"/>
    <xf numFmtId="42" fontId="12" fillId="0" borderId="85" xfId="1" applyNumberFormat="1" applyFont="1" applyBorder="1" applyAlignment="1"/>
    <xf numFmtId="42" fontId="12" fillId="0" borderId="79" xfId="1" applyNumberFormat="1" applyFont="1" applyBorder="1" applyAlignment="1">
      <alignment horizontal="center"/>
    </xf>
    <xf numFmtId="42" fontId="12" fillId="0" borderId="76" xfId="0" applyNumberFormat="1" applyFont="1" applyBorder="1"/>
    <xf numFmtId="42" fontId="26" fillId="0" borderId="16" xfId="0" applyNumberFormat="1" applyFont="1" applyFill="1" applyBorder="1" applyAlignment="1">
      <alignment horizontal="center"/>
    </xf>
    <xf numFmtId="42" fontId="12" fillId="0" borderId="86" xfId="0" applyNumberFormat="1" applyFont="1" applyFill="1" applyBorder="1" applyAlignment="1">
      <alignment horizontal="center"/>
    </xf>
    <xf numFmtId="42" fontId="12" fillId="0" borderId="69" xfId="0" applyNumberFormat="1" applyFont="1" applyFill="1" applyBorder="1" applyAlignment="1">
      <alignment horizontal="center"/>
    </xf>
    <xf numFmtId="42" fontId="12" fillId="0" borderId="86" xfId="0" applyNumberFormat="1" applyFont="1" applyFill="1" applyBorder="1"/>
    <xf numFmtId="42" fontId="12" fillId="0" borderId="76" xfId="0" applyNumberFormat="1" applyFont="1" applyFill="1" applyBorder="1"/>
    <xf numFmtId="42" fontId="12" fillId="0" borderId="21" xfId="1" applyNumberFormat="1" applyFont="1" applyBorder="1" applyAlignment="1">
      <alignment horizontal="left"/>
    </xf>
    <xf numFmtId="42" fontId="22" fillId="0" borderId="16" xfId="0" applyNumberFormat="1" applyFont="1" applyBorder="1"/>
    <xf numFmtId="42" fontId="22" fillId="0" borderId="19" xfId="0" applyNumberFormat="1" applyFont="1" applyBorder="1"/>
    <xf numFmtId="42" fontId="12" fillId="0" borderId="46" xfId="0" applyNumberFormat="1" applyFont="1" applyBorder="1" applyAlignment="1">
      <alignment horizontal="center"/>
    </xf>
    <xf numFmtId="42" fontId="41" fillId="0" borderId="16" xfId="0" applyNumberFormat="1" applyFont="1" applyBorder="1" applyAlignment="1">
      <alignment horizontal="center"/>
    </xf>
    <xf numFmtId="42" fontId="22" fillId="0" borderId="16" xfId="0" applyNumberFormat="1" applyFont="1" applyBorder="1" applyAlignment="1">
      <alignment horizontal="center"/>
    </xf>
    <xf numFmtId="42" fontId="12" fillId="0" borderId="76" xfId="0" applyNumberFormat="1" applyFont="1" applyBorder="1" applyAlignment="1">
      <alignment horizontal="center"/>
    </xf>
    <xf numFmtId="42" fontId="35" fillId="0" borderId="16" xfId="0" applyNumberFormat="1" applyFont="1" applyBorder="1" applyAlignment="1">
      <alignment horizontal="center"/>
    </xf>
    <xf numFmtId="42" fontId="9" fillId="0" borderId="79" xfId="0" applyNumberFormat="1" applyFont="1" applyBorder="1" applyAlignment="1">
      <alignment horizontal="center"/>
    </xf>
    <xf numFmtId="42" fontId="12" fillId="0" borderId="16" xfId="1" applyNumberFormat="1" applyFont="1" applyFill="1" applyBorder="1" applyAlignment="1">
      <alignment horizontal="left"/>
    </xf>
    <xf numFmtId="42" fontId="12" fillId="0" borderId="76" xfId="1" applyNumberFormat="1" applyFont="1" applyBorder="1"/>
    <xf numFmtId="42" fontId="12" fillId="0" borderId="26" xfId="1" applyNumberFormat="1" applyFont="1" applyBorder="1" applyAlignment="1">
      <alignment horizontal="center"/>
    </xf>
    <xf numFmtId="0" fontId="12" fillId="2" borderId="16" xfId="0" applyFont="1" applyFill="1" applyBorder="1"/>
    <xf numFmtId="44" fontId="12" fillId="2" borderId="16" xfId="1" applyNumberFormat="1" applyFont="1" applyFill="1" applyBorder="1" applyAlignment="1">
      <alignment horizontal="center"/>
    </xf>
    <xf numFmtId="42" fontId="12" fillId="2" borderId="16" xfId="1" applyNumberFormat="1" applyFont="1" applyFill="1" applyBorder="1" applyAlignment="1">
      <alignment horizontal="center"/>
    </xf>
    <xf numFmtId="0" fontId="22" fillId="0" borderId="23" xfId="0" applyFont="1" applyBorder="1"/>
    <xf numFmtId="44" fontId="12" fillId="0" borderId="46" xfId="1" applyNumberFormat="1" applyFont="1" applyBorder="1" applyAlignment="1">
      <alignment horizontal="center"/>
    </xf>
    <xf numFmtId="44" fontId="12" fillId="0" borderId="46" xfId="1" applyNumberFormat="1" applyFont="1" applyFill="1" applyBorder="1" applyAlignment="1">
      <alignment horizontal="center"/>
    </xf>
    <xf numFmtId="42" fontId="12" fillId="0" borderId="46" xfId="1" applyNumberFormat="1" applyFont="1" applyFill="1" applyBorder="1" applyAlignment="1">
      <alignment horizontal="center"/>
    </xf>
    <xf numFmtId="0" fontId="12" fillId="0" borderId="74" xfId="0" applyFont="1" applyBorder="1"/>
    <xf numFmtId="42" fontId="12" fillId="0" borderId="74" xfId="0" applyNumberFormat="1" applyFont="1" applyBorder="1" applyAlignment="1">
      <alignment horizontal="center"/>
    </xf>
    <xf numFmtId="44" fontId="12" fillId="0" borderId="16" xfId="1" applyFont="1" applyFill="1" applyBorder="1" applyAlignment="1">
      <alignment horizontal="left"/>
    </xf>
    <xf numFmtId="44" fontId="12" fillId="0" borderId="21" xfId="1" applyFont="1" applyBorder="1" applyAlignment="1">
      <alignment horizontal="left"/>
    </xf>
    <xf numFmtId="44" fontId="12" fillId="2" borderId="16" xfId="1" applyFont="1" applyFill="1" applyBorder="1"/>
    <xf numFmtId="42" fontId="12" fillId="2" borderId="16" xfId="1" applyNumberFormat="1" applyFont="1" applyFill="1" applyBorder="1"/>
    <xf numFmtId="44" fontId="22" fillId="0" borderId="16" xfId="1" applyFont="1" applyFill="1" applyBorder="1" applyAlignment="1">
      <alignment horizontal="left"/>
    </xf>
    <xf numFmtId="44" fontId="22" fillId="0" borderId="19" xfId="1" applyFont="1" applyFill="1" applyBorder="1" applyAlignment="1">
      <alignment horizontal="left"/>
    </xf>
    <xf numFmtId="44" fontId="22" fillId="0" borderId="76" xfId="1" applyFont="1" applyFill="1" applyBorder="1" applyAlignment="1">
      <alignment horizontal="left"/>
    </xf>
    <xf numFmtId="44" fontId="12" fillId="0" borderId="76" xfId="1" applyFont="1" applyFill="1" applyBorder="1" applyAlignment="1">
      <alignment horizontal="left"/>
    </xf>
    <xf numFmtId="42" fontId="12" fillId="0" borderId="76" xfId="1" applyNumberFormat="1" applyFont="1" applyFill="1" applyBorder="1" applyAlignment="1">
      <alignment horizontal="left"/>
    </xf>
    <xf numFmtId="0" fontId="17" fillId="2" borderId="69" xfId="0" applyFont="1" applyFill="1" applyBorder="1" applyAlignment="1">
      <alignment horizontal="left"/>
    </xf>
    <xf numFmtId="44" fontId="17" fillId="2" borderId="69" xfId="1" applyFont="1" applyFill="1" applyBorder="1"/>
    <xf numFmtId="42" fontId="58" fillId="0" borderId="0" xfId="0" applyNumberFormat="1" applyFont="1"/>
    <xf numFmtId="42" fontId="12" fillId="0" borderId="43" xfId="0" applyNumberFormat="1" applyFont="1" applyBorder="1" applyAlignment="1">
      <alignment vertical="center"/>
    </xf>
    <xf numFmtId="0" fontId="12" fillId="0" borderId="25" xfId="0" applyFont="1" applyBorder="1"/>
    <xf numFmtId="44" fontId="12" fillId="0" borderId="54" xfId="0" applyNumberFormat="1" applyFont="1" applyFill="1" applyBorder="1" applyAlignment="1">
      <alignment horizontal="center" vertical="center"/>
    </xf>
    <xf numFmtId="44" fontId="12" fillId="0" borderId="69" xfId="0" applyNumberFormat="1" applyFont="1" applyFill="1" applyBorder="1" applyAlignment="1">
      <alignment horizontal="center" vertical="center"/>
    </xf>
    <xf numFmtId="44" fontId="12" fillId="2" borderId="46" xfId="0" applyNumberFormat="1" applyFont="1" applyFill="1" applyBorder="1" applyAlignment="1">
      <alignment horizontal="center" vertical="center"/>
    </xf>
    <xf numFmtId="42" fontId="12" fillId="0" borderId="46" xfId="0" applyNumberFormat="1" applyFont="1" applyFill="1" applyBorder="1" applyAlignment="1">
      <alignment horizontal="center" vertical="center"/>
    </xf>
    <xf numFmtId="0" fontId="12" fillId="0" borderId="54" xfId="0" applyFont="1" applyBorder="1" applyAlignment="1"/>
    <xf numFmtId="44" fontId="12" fillId="2" borderId="54" xfId="0" applyNumberFormat="1" applyFont="1" applyFill="1" applyBorder="1" applyAlignment="1">
      <alignment horizontal="center" vertical="center"/>
    </xf>
    <xf numFmtId="42" fontId="12" fillId="0" borderId="54" xfId="0" applyNumberFormat="1" applyFont="1" applyFill="1" applyBorder="1" applyAlignment="1">
      <alignment horizontal="center" vertical="center"/>
    </xf>
    <xf numFmtId="42" fontId="12" fillId="0" borderId="52" xfId="0" applyNumberFormat="1" applyFont="1" applyFill="1" applyBorder="1" applyAlignment="1">
      <alignment horizontal="center" vertical="center"/>
    </xf>
    <xf numFmtId="0" fontId="12" fillId="0" borderId="25" xfId="0" applyFont="1" applyFill="1" applyBorder="1"/>
    <xf numFmtId="44" fontId="12" fillId="0" borderId="25" xfId="0" applyNumberFormat="1" applyFont="1" applyFill="1" applyBorder="1"/>
    <xf numFmtId="42" fontId="12" fillId="0" borderId="25" xfId="0" applyNumberFormat="1" applyFont="1" applyFill="1" applyBorder="1"/>
    <xf numFmtId="0" fontId="12" fillId="0" borderId="46" xfId="0" applyFont="1" applyFill="1" applyBorder="1"/>
    <xf numFmtId="44" fontId="12" fillId="0" borderId="25" xfId="0" applyNumberFormat="1" applyFont="1" applyBorder="1" applyAlignment="1">
      <alignment horizontal="center" vertical="center"/>
    </xf>
    <xf numFmtId="42" fontId="12" fillId="0" borderId="25" xfId="0" applyNumberFormat="1" applyFont="1" applyBorder="1" applyAlignment="1">
      <alignment horizontal="center" vertical="center"/>
    </xf>
    <xf numFmtId="42" fontId="12" fillId="0" borderId="16" xfId="0" applyNumberFormat="1" applyFont="1" applyBorder="1" applyAlignment="1">
      <alignment horizontal="center" vertical="center"/>
    </xf>
    <xf numFmtId="44" fontId="12" fillId="0" borderId="46" xfId="0" applyNumberFormat="1" applyFont="1" applyBorder="1" applyAlignment="1">
      <alignment horizontal="center" vertical="center"/>
    </xf>
    <xf numFmtId="42" fontId="12" fillId="0" borderId="46" xfId="0" applyNumberFormat="1" applyFont="1" applyBorder="1" applyAlignment="1">
      <alignment horizontal="center" vertical="center"/>
    </xf>
    <xf numFmtId="44" fontId="12" fillId="0" borderId="74" xfId="0" applyNumberFormat="1" applyFont="1" applyBorder="1" applyAlignment="1">
      <alignment horizontal="center" vertical="center"/>
    </xf>
    <xf numFmtId="42" fontId="12" fillId="0" borderId="74" xfId="0" applyNumberFormat="1" applyFont="1" applyBorder="1" applyAlignment="1">
      <alignment horizontal="center" vertical="center"/>
    </xf>
    <xf numFmtId="42" fontId="12" fillId="0" borderId="52" xfId="0" applyNumberFormat="1" applyFont="1" applyBorder="1" applyAlignment="1">
      <alignment horizontal="center" vertical="center"/>
    </xf>
    <xf numFmtId="0" fontId="12" fillId="0" borderId="25" xfId="0" applyFont="1" applyBorder="1" applyAlignment="1"/>
    <xf numFmtId="44" fontId="12" fillId="2" borderId="25" xfId="0" applyNumberFormat="1" applyFont="1" applyFill="1" applyBorder="1" applyAlignment="1">
      <alignment horizontal="center" vertical="center"/>
    </xf>
    <xf numFmtId="42" fontId="12" fillId="2" borderId="25" xfId="0" applyNumberFormat="1" applyFont="1" applyFill="1" applyBorder="1" applyAlignment="1">
      <alignment horizontal="center" vertical="center"/>
    </xf>
    <xf numFmtId="44" fontId="12" fillId="2" borderId="16" xfId="0" applyNumberFormat="1" applyFont="1" applyFill="1" applyBorder="1" applyAlignment="1">
      <alignment horizontal="center" vertical="center"/>
    </xf>
    <xf numFmtId="42" fontId="12" fillId="2" borderId="16" xfId="0" applyNumberFormat="1" applyFont="1" applyFill="1" applyBorder="1" applyAlignment="1">
      <alignment horizontal="center" vertical="center"/>
    </xf>
    <xf numFmtId="44" fontId="12" fillId="0" borderId="25" xfId="0" applyNumberFormat="1" applyFont="1" applyBorder="1"/>
    <xf numFmtId="42" fontId="12" fillId="0" borderId="25" xfId="0" applyNumberFormat="1" applyFont="1" applyBorder="1"/>
    <xf numFmtId="42" fontId="12" fillId="0" borderId="0" xfId="0" applyNumberFormat="1" applyFont="1"/>
    <xf numFmtId="0" fontId="12" fillId="2" borderId="19" xfId="0" applyFont="1" applyFill="1" applyBorder="1" applyAlignment="1"/>
    <xf numFmtId="44" fontId="12" fillId="0" borderId="19" xfId="0" applyNumberFormat="1" applyFont="1" applyFill="1" applyBorder="1"/>
    <xf numFmtId="42" fontId="12" fillId="0" borderId="19" xfId="0" applyNumberFormat="1" applyFont="1" applyFill="1" applyBorder="1"/>
    <xf numFmtId="0" fontId="12" fillId="2" borderId="25" xfId="0" applyFont="1" applyFill="1" applyBorder="1" applyAlignment="1"/>
    <xf numFmtId="0" fontId="12" fillId="2" borderId="46" xfId="0" applyFont="1" applyFill="1" applyBorder="1" applyAlignment="1"/>
    <xf numFmtId="0" fontId="12" fillId="0" borderId="26" xfId="0" applyFont="1" applyBorder="1"/>
    <xf numFmtId="0" fontId="59" fillId="0" borderId="19" xfId="0" applyFont="1" applyFill="1" applyBorder="1"/>
    <xf numFmtId="0" fontId="12" fillId="0" borderId="16" xfId="0" applyFont="1" applyFill="1" applyBorder="1" applyAlignment="1">
      <alignment horizontal="left"/>
    </xf>
    <xf numFmtId="0" fontId="12" fillId="0" borderId="16" xfId="0" applyFont="1" applyBorder="1" applyAlignment="1">
      <alignment horizontal="left" wrapText="1"/>
    </xf>
    <xf numFmtId="0" fontId="17" fillId="0" borderId="16" xfId="0" applyFont="1" applyFill="1" applyBorder="1"/>
    <xf numFmtId="44" fontId="12" fillId="0" borderId="40" xfId="1" applyNumberFormat="1" applyFont="1" applyBorder="1"/>
    <xf numFmtId="44" fontId="12" fillId="0" borderId="19" xfId="1" applyNumberFormat="1" applyFont="1" applyBorder="1"/>
    <xf numFmtId="44" fontId="12" fillId="0" borderId="21" xfId="1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16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22" fillId="0" borderId="16" xfId="0" applyFont="1" applyBorder="1" applyAlignment="1">
      <alignment wrapText="1"/>
    </xf>
    <xf numFmtId="44" fontId="12" fillId="0" borderId="79" xfId="0" applyNumberFormat="1" applyFont="1" applyBorder="1"/>
    <xf numFmtId="42" fontId="12" fillId="0" borderId="79" xfId="0" applyNumberFormat="1" applyFont="1" applyBorder="1"/>
    <xf numFmtId="44" fontId="12" fillId="0" borderId="113" xfId="0" applyNumberFormat="1" applyFont="1" applyBorder="1" applyAlignment="1">
      <alignment horizontal="center" vertical="center"/>
    </xf>
    <xf numFmtId="42" fontId="12" fillId="0" borderId="113" xfId="0" applyNumberFormat="1" applyFont="1" applyBorder="1" applyAlignment="1">
      <alignment horizontal="center" vertical="center"/>
    </xf>
    <xf numFmtId="44" fontId="26" fillId="0" borderId="16" xfId="1" applyFont="1" applyBorder="1" applyAlignment="1">
      <alignment horizontal="center"/>
    </xf>
    <xf numFmtId="8" fontId="12" fillId="0" borderId="21" xfId="0" applyNumberFormat="1" applyFont="1" applyBorder="1"/>
    <xf numFmtId="42" fontId="12" fillId="0" borderId="46" xfId="1" applyNumberFormat="1" applyFont="1" applyBorder="1" applyAlignment="1">
      <alignment horizontal="center"/>
    </xf>
    <xf numFmtId="44" fontId="12" fillId="0" borderId="74" xfId="1" applyNumberFormat="1" applyFont="1" applyBorder="1" applyAlignment="1">
      <alignment horizontal="center"/>
    </xf>
    <xf numFmtId="42" fontId="12" fillId="0" borderId="74" xfId="1" applyNumberFormat="1" applyFont="1" applyBorder="1" applyAlignment="1">
      <alignment horizontal="center"/>
    </xf>
    <xf numFmtId="0" fontId="12" fillId="0" borderId="22" xfId="0" applyFont="1" applyBorder="1"/>
    <xf numFmtId="44" fontId="12" fillId="0" borderId="46" xfId="1" applyNumberFormat="1" applyFont="1" applyBorder="1"/>
    <xf numFmtId="44" fontId="12" fillId="0" borderId="121" xfId="0" applyNumberFormat="1" applyFont="1" applyBorder="1"/>
    <xf numFmtId="44" fontId="12" fillId="0" borderId="78" xfId="0" applyNumberFormat="1" applyFont="1" applyBorder="1"/>
    <xf numFmtId="44" fontId="12" fillId="0" borderId="71" xfId="0" applyNumberFormat="1" applyFont="1" applyBorder="1"/>
    <xf numFmtId="42" fontId="12" fillId="0" borderId="10" xfId="0" applyNumberFormat="1" applyFont="1" applyBorder="1"/>
    <xf numFmtId="42" fontId="12" fillId="0" borderId="50" xfId="0" applyNumberFormat="1" applyFont="1" applyBorder="1"/>
    <xf numFmtId="42" fontId="12" fillId="0" borderId="49" xfId="0" applyNumberFormat="1" applyFont="1" applyBorder="1"/>
    <xf numFmtId="44" fontId="12" fillId="0" borderId="16" xfId="0" applyNumberFormat="1" applyFont="1" applyBorder="1" applyAlignment="1"/>
    <xf numFmtId="44" fontId="22" fillId="0" borderId="16" xfId="0" applyNumberFormat="1" applyFont="1" applyFill="1" applyBorder="1" applyAlignment="1">
      <alignment horizontal="center"/>
    </xf>
    <xf numFmtId="42" fontId="22" fillId="0" borderId="16" xfId="0" applyNumberFormat="1" applyFont="1" applyFill="1" applyBorder="1" applyAlignment="1">
      <alignment horizontal="center"/>
    </xf>
    <xf numFmtId="0" fontId="12" fillId="0" borderId="20" xfId="0" applyFont="1" applyBorder="1" applyAlignment="1">
      <alignment horizontal="left" wrapText="1"/>
    </xf>
    <xf numFmtId="42" fontId="12" fillId="0" borderId="21" xfId="1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44" fontId="12" fillId="0" borderId="30" xfId="0" applyNumberFormat="1" applyFont="1" applyBorder="1" applyAlignment="1">
      <alignment horizontal="center"/>
    </xf>
    <xf numFmtId="42" fontId="12" fillId="0" borderId="30" xfId="0" applyNumberFormat="1" applyFont="1" applyBorder="1" applyAlignment="1">
      <alignment horizontal="center"/>
    </xf>
    <xf numFmtId="42" fontId="12" fillId="0" borderId="30" xfId="0" applyNumberFormat="1" applyFont="1" applyFill="1" applyBorder="1" applyAlignment="1">
      <alignment horizontal="center"/>
    </xf>
    <xf numFmtId="44" fontId="12" fillId="0" borderId="109" xfId="0" applyNumberFormat="1" applyFont="1" applyBorder="1"/>
    <xf numFmtId="42" fontId="12" fillId="0" borderId="109" xfId="0" applyNumberFormat="1" applyFont="1" applyBorder="1"/>
    <xf numFmtId="42" fontId="12" fillId="0" borderId="109" xfId="0" applyNumberFormat="1" applyFont="1" applyFill="1" applyBorder="1"/>
    <xf numFmtId="44" fontId="12" fillId="0" borderId="74" xfId="0" applyNumberFormat="1" applyFont="1" applyFill="1" applyBorder="1"/>
    <xf numFmtId="42" fontId="12" fillId="0" borderId="74" xfId="0" applyNumberFormat="1" applyFont="1" applyFill="1" applyBorder="1"/>
    <xf numFmtId="0" fontId="12" fillId="0" borderId="88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42" fontId="12" fillId="0" borderId="40" xfId="0" applyNumberFormat="1" applyFont="1" applyBorder="1"/>
    <xf numFmtId="43" fontId="12" fillId="0" borderId="40" xfId="0" applyNumberFormat="1" applyFont="1" applyBorder="1"/>
    <xf numFmtId="42" fontId="12" fillId="0" borderId="40" xfId="0" applyNumberFormat="1" applyFont="1" applyFill="1" applyBorder="1"/>
    <xf numFmtId="0" fontId="12" fillId="0" borderId="1" xfId="0" applyFont="1" applyBorder="1" applyAlignment="1">
      <alignment horizontal="left" wrapText="1"/>
    </xf>
    <xf numFmtId="43" fontId="12" fillId="0" borderId="25" xfId="0" applyNumberFormat="1" applyFont="1" applyBorder="1"/>
    <xf numFmtId="43" fontId="12" fillId="0" borderId="16" xfId="0" applyNumberFormat="1" applyFont="1" applyBorder="1"/>
    <xf numFmtId="43" fontId="12" fillId="0" borderId="46" xfId="0" applyNumberFormat="1" applyFont="1" applyBorder="1"/>
    <xf numFmtId="43" fontId="12" fillId="0" borderId="40" xfId="0" applyNumberFormat="1" applyFont="1" applyFill="1" applyBorder="1"/>
    <xf numFmtId="43" fontId="12" fillId="0" borderId="25" xfId="0" applyNumberFormat="1" applyFont="1" applyFill="1" applyBorder="1"/>
    <xf numFmtId="43" fontId="12" fillId="0" borderId="16" xfId="0" applyNumberFormat="1" applyFont="1" applyFill="1" applyBorder="1"/>
    <xf numFmtId="43" fontId="12" fillId="0" borderId="46" xfId="0" applyNumberFormat="1" applyFont="1" applyFill="1" applyBorder="1"/>
    <xf numFmtId="42" fontId="12" fillId="0" borderId="69" xfId="0" applyNumberFormat="1" applyFont="1" applyBorder="1"/>
    <xf numFmtId="0" fontId="12" fillId="2" borderId="1" xfId="0" applyFont="1" applyFill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43" xfId="0" applyFont="1" applyBorder="1" applyAlignment="1">
      <alignment horizontal="center"/>
    </xf>
    <xf numFmtId="0" fontId="12" fillId="0" borderId="20" xfId="0" applyFont="1" applyBorder="1" applyAlignment="1">
      <alignment horizontal="left" vertical="center"/>
    </xf>
    <xf numFmtId="44" fontId="12" fillId="0" borderId="19" xfId="1" applyNumberFormat="1" applyFont="1" applyBorder="1" applyAlignment="1"/>
    <xf numFmtId="42" fontId="12" fillId="0" borderId="19" xfId="1" applyNumberFormat="1" applyFont="1" applyBorder="1" applyAlignment="1"/>
    <xf numFmtId="0" fontId="9" fillId="0" borderId="129" xfId="0" applyFont="1" applyFill="1" applyBorder="1"/>
    <xf numFmtId="44" fontId="9" fillId="8" borderId="7" xfId="0" applyNumberFormat="1" applyFont="1" applyFill="1" applyBorder="1"/>
    <xf numFmtId="1" fontId="9" fillId="0" borderId="6" xfId="0" applyNumberFormat="1" applyFont="1" applyFill="1" applyBorder="1"/>
    <xf numFmtId="44" fontId="9" fillId="0" borderId="7" xfId="0" applyNumberFormat="1" applyFont="1" applyFill="1" applyBorder="1"/>
    <xf numFmtId="44" fontId="9" fillId="0" borderId="44" xfId="0" applyNumberFormat="1" applyFont="1" applyFill="1" applyBorder="1" applyAlignment="1">
      <alignment horizontal="center"/>
    </xf>
    <xf numFmtId="166" fontId="9" fillId="0" borderId="28" xfId="0" applyNumberFormat="1" applyFont="1" applyFill="1" applyBorder="1" applyAlignment="1">
      <alignment horizontal="right"/>
    </xf>
    <xf numFmtId="167" fontId="20" fillId="0" borderId="6" xfId="0" applyNumberFormat="1" applyFont="1" applyFill="1" applyBorder="1"/>
    <xf numFmtId="44" fontId="20" fillId="0" borderId="6" xfId="0" applyNumberFormat="1" applyFont="1" applyFill="1" applyBorder="1"/>
    <xf numFmtId="44" fontId="9" fillId="0" borderId="12" xfId="0" applyNumberFormat="1" applyFont="1" applyFill="1" applyBorder="1"/>
    <xf numFmtId="166" fontId="9" fillId="0" borderId="4" xfId="0" applyNumberFormat="1" applyFont="1" applyFill="1" applyBorder="1"/>
    <xf numFmtId="44" fontId="9" fillId="0" borderId="44" xfId="0" applyNumberFormat="1" applyFont="1" applyBorder="1"/>
    <xf numFmtId="0" fontId="9" fillId="0" borderId="44" xfId="0" applyFont="1" applyFill="1" applyBorder="1"/>
    <xf numFmtId="166" fontId="9" fillId="0" borderId="5" xfId="0" applyNumberFormat="1" applyFont="1" applyFill="1" applyBorder="1"/>
    <xf numFmtId="0" fontId="9" fillId="0" borderId="44" xfId="0" applyFont="1" applyBorder="1"/>
    <xf numFmtId="44" fontId="9" fillId="0" borderId="44" xfId="0" applyNumberFormat="1" applyFont="1" applyFill="1" applyBorder="1"/>
    <xf numFmtId="0" fontId="9" fillId="0" borderId="5" xfId="0" applyNumberFormat="1" applyFont="1" applyBorder="1" applyAlignment="1">
      <alignment horizontal="center"/>
    </xf>
    <xf numFmtId="0" fontId="9" fillId="0" borderId="6" xfId="0" applyFont="1" applyBorder="1"/>
    <xf numFmtId="42" fontId="43" fillId="0" borderId="7" xfId="1" quotePrefix="1" applyNumberFormat="1" applyFont="1" applyFill="1" applyBorder="1"/>
    <xf numFmtId="42" fontId="0" fillId="0" borderId="124" xfId="0" applyNumberFormat="1" applyBorder="1"/>
    <xf numFmtId="0" fontId="33" fillId="0" borderId="130" xfId="0" applyNumberFormat="1" applyFont="1" applyBorder="1" applyAlignment="1">
      <alignment horizontal="center" vertical="center"/>
    </xf>
    <xf numFmtId="0" fontId="10" fillId="0" borderId="130" xfId="0" applyFont="1" applyBorder="1" applyAlignment="1">
      <alignment horizontal="left" vertical="center"/>
    </xf>
    <xf numFmtId="0" fontId="55" fillId="0" borderId="130" xfId="0" applyFont="1" applyBorder="1" applyAlignment="1">
      <alignment horizontal="center" vertical="center" wrapText="1"/>
    </xf>
    <xf numFmtId="0" fontId="0" fillId="0" borderId="130" xfId="0" applyBorder="1"/>
    <xf numFmtId="43" fontId="55" fillId="0" borderId="131" xfId="0" applyNumberFormat="1" applyFont="1" applyBorder="1" applyAlignment="1">
      <alignment horizontal="center" vertical="center" wrapText="1"/>
    </xf>
    <xf numFmtId="42" fontId="43" fillId="0" borderId="129" xfId="0" applyNumberFormat="1" applyFont="1" applyFill="1" applyBorder="1"/>
    <xf numFmtId="42" fontId="43" fillId="0" borderId="72" xfId="0" applyNumberFormat="1" applyFont="1" applyFill="1" applyBorder="1"/>
    <xf numFmtId="42" fontId="43" fillId="0" borderId="41" xfId="0" applyNumberFormat="1" applyFont="1" applyBorder="1" applyAlignment="1">
      <alignment vertical="center"/>
    </xf>
    <xf numFmtId="42" fontId="43" fillId="0" borderId="38" xfId="0" applyNumberFormat="1" applyFont="1" applyBorder="1"/>
    <xf numFmtId="0" fontId="0" fillId="0" borderId="52" xfId="0" applyBorder="1"/>
    <xf numFmtId="168" fontId="0" fillId="0" borderId="0" xfId="0" applyNumberFormat="1" applyBorder="1"/>
    <xf numFmtId="0" fontId="1" fillId="0" borderId="0" xfId="0" applyFont="1" applyBorder="1"/>
    <xf numFmtId="0" fontId="0" fillId="0" borderId="52" xfId="0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44" fontId="9" fillId="0" borderId="133" xfId="0" applyNumberFormat="1" applyFont="1" applyFill="1" applyBorder="1" applyAlignment="1">
      <alignment horizontal="center"/>
    </xf>
    <xf numFmtId="44" fontId="9" fillId="0" borderId="134" xfId="0" applyNumberFormat="1" applyFont="1" applyFill="1" applyBorder="1" applyAlignment="1">
      <alignment horizontal="center"/>
    </xf>
    <xf numFmtId="0" fontId="9" fillId="0" borderId="126" xfId="0" applyFont="1" applyBorder="1" applyAlignment="1">
      <alignment horizontal="center"/>
    </xf>
    <xf numFmtId="0" fontId="9" fillId="0" borderId="70" xfId="0" applyFont="1" applyFill="1" applyBorder="1"/>
    <xf numFmtId="44" fontId="9" fillId="0" borderId="71" xfId="0" applyNumberFormat="1" applyFont="1" applyFill="1" applyBorder="1"/>
    <xf numFmtId="2" fontId="9" fillId="0" borderId="71" xfId="0" applyNumberFormat="1" applyFont="1" applyFill="1" applyBorder="1"/>
    <xf numFmtId="44" fontId="9" fillId="0" borderId="78" xfId="0" applyNumberFormat="1" applyFont="1" applyFill="1" applyBorder="1"/>
    <xf numFmtId="166" fontId="9" fillId="0" borderId="70" xfId="0" applyNumberFormat="1" applyFont="1" applyFill="1" applyBorder="1"/>
    <xf numFmtId="0" fontId="9" fillId="0" borderId="28" xfId="0" applyFont="1" applyFill="1" applyBorder="1"/>
    <xf numFmtId="44" fontId="9" fillId="0" borderId="29" xfId="0" applyNumberFormat="1" applyFont="1" applyFill="1" applyBorder="1"/>
    <xf numFmtId="2" fontId="9" fillId="0" borderId="29" xfId="0" applyNumberFormat="1" applyFont="1" applyFill="1" applyBorder="1"/>
    <xf numFmtId="44" fontId="9" fillId="0" borderId="33" xfId="0" applyNumberFormat="1" applyFont="1" applyFill="1" applyBorder="1"/>
    <xf numFmtId="166" fontId="9" fillId="0" borderId="28" xfId="0" applyNumberFormat="1" applyFont="1" applyFill="1" applyBorder="1"/>
    <xf numFmtId="166" fontId="9" fillId="0" borderId="5" xfId="0" applyNumberFormat="1" applyFont="1" applyFill="1" applyBorder="1" applyAlignment="1">
      <alignment horizontal="right"/>
    </xf>
    <xf numFmtId="0" fontId="9" fillId="0" borderId="24" xfId="0" applyFont="1" applyBorder="1"/>
    <xf numFmtId="44" fontId="9" fillId="0" borderId="24" xfId="0" applyNumberFormat="1" applyFont="1" applyBorder="1"/>
    <xf numFmtId="2" fontId="9" fillId="0" borderId="24" xfId="0" applyNumberFormat="1" applyFont="1" applyBorder="1"/>
    <xf numFmtId="166" fontId="9" fillId="0" borderId="4" xfId="0" applyNumberFormat="1" applyFont="1" applyBorder="1"/>
    <xf numFmtId="44" fontId="9" fillId="0" borderId="80" xfId="0" applyNumberFormat="1" applyFont="1" applyBorder="1"/>
    <xf numFmtId="44" fontId="9" fillId="0" borderId="87" xfId="0" applyNumberFormat="1" applyFont="1" applyBorder="1"/>
    <xf numFmtId="44" fontId="9" fillId="0" borderId="135" xfId="0" applyNumberFormat="1" applyFont="1" applyBorder="1"/>
    <xf numFmtId="0" fontId="9" fillId="0" borderId="72" xfId="0" applyFont="1" applyFill="1" applyBorder="1" applyAlignment="1">
      <alignment horizontal="center"/>
    </xf>
    <xf numFmtId="44" fontId="9" fillId="0" borderId="136" xfId="0" applyNumberFormat="1" applyFont="1" applyFill="1" applyBorder="1" applyAlignment="1">
      <alignment horizontal="center"/>
    </xf>
    <xf numFmtId="0" fontId="12" fillId="0" borderId="28" xfId="0" applyFont="1" applyFill="1" applyBorder="1"/>
    <xf numFmtId="0" fontId="9" fillId="0" borderId="29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42" fontId="18" fillId="0" borderId="42" xfId="0" applyNumberFormat="1" applyFont="1" applyFill="1" applyBorder="1" applyAlignment="1">
      <alignment horizontal="center" vertical="center"/>
    </xf>
    <xf numFmtId="42" fontId="18" fillId="0" borderId="73" xfId="0" applyNumberFormat="1" applyFont="1" applyFill="1" applyBorder="1" applyAlignment="1">
      <alignment horizontal="center" vertical="center"/>
    </xf>
    <xf numFmtId="42" fontId="18" fillId="0" borderId="45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2" fontId="47" fillId="0" borderId="41" xfId="0" applyNumberFormat="1" applyFont="1" applyBorder="1" applyAlignment="1">
      <alignment horizontal="center" textRotation="90"/>
    </xf>
    <xf numFmtId="42" fontId="15" fillId="0" borderId="0" xfId="0" applyNumberFormat="1" applyFont="1" applyBorder="1" applyAlignment="1">
      <alignment horizontal="center" vertical="center"/>
    </xf>
    <xf numFmtId="42" fontId="12" fillId="0" borderId="20" xfId="0" applyNumberFormat="1" applyFont="1" applyFill="1" applyBorder="1" applyAlignment="1">
      <alignment horizontal="center"/>
    </xf>
    <xf numFmtId="42" fontId="3" fillId="0" borderId="30" xfId="0" applyNumberFormat="1" applyFont="1" applyFill="1" applyBorder="1" applyAlignment="1">
      <alignment horizontal="center"/>
    </xf>
    <xf numFmtId="44" fontId="12" fillId="0" borderId="19" xfId="0" applyNumberFormat="1" applyFont="1" applyBorder="1" applyAlignment="1">
      <alignment horizontal="center" wrapText="1"/>
    </xf>
    <xf numFmtId="0" fontId="3" fillId="0" borderId="69" xfId="0" applyFont="1" applyBorder="1" applyAlignment="1">
      <alignment horizontal="center" wrapText="1"/>
    </xf>
    <xf numFmtId="0" fontId="32" fillId="5" borderId="47" xfId="0" applyFont="1" applyFill="1" applyBorder="1" applyAlignment="1">
      <alignment horizontal="center" vertical="center"/>
    </xf>
    <xf numFmtId="0" fontId="32" fillId="5" borderId="48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/>
    </xf>
    <xf numFmtId="42" fontId="17" fillId="0" borderId="54" xfId="0" applyNumberFormat="1" applyFont="1" applyBorder="1" applyAlignment="1">
      <alignment horizontal="center" vertical="center"/>
    </xf>
    <xf numFmtId="42" fontId="17" fillId="0" borderId="74" xfId="0" applyNumberFormat="1" applyFont="1" applyBorder="1" applyAlignment="1">
      <alignment horizontal="center" vertical="center"/>
    </xf>
    <xf numFmtId="44" fontId="12" fillId="0" borderId="54" xfId="0" applyNumberFormat="1" applyFont="1" applyFill="1" applyBorder="1" applyAlignment="1">
      <alignment horizontal="center" vertical="center"/>
    </xf>
    <xf numFmtId="44" fontId="12" fillId="0" borderId="69" xfId="0" applyNumberFormat="1" applyFont="1" applyFill="1" applyBorder="1" applyAlignment="1">
      <alignment horizontal="center" vertical="center"/>
    </xf>
    <xf numFmtId="42" fontId="17" fillId="0" borderId="54" xfId="0" applyNumberFormat="1" applyFont="1" applyFill="1" applyBorder="1" applyAlignment="1">
      <alignment horizontal="center" vertical="center"/>
    </xf>
    <xf numFmtId="42" fontId="17" fillId="0" borderId="40" xfId="0" applyNumberFormat="1" applyFont="1" applyFill="1" applyBorder="1" applyAlignment="1">
      <alignment horizontal="center" vertical="center"/>
    </xf>
    <xf numFmtId="42" fontId="17" fillId="0" borderId="74" xfId="0" applyNumberFormat="1" applyFont="1" applyFill="1" applyBorder="1" applyAlignment="1">
      <alignment horizontal="center" vertical="center"/>
    </xf>
    <xf numFmtId="42" fontId="17" fillId="0" borderId="40" xfId="0" applyNumberFormat="1" applyFont="1" applyBorder="1" applyAlignment="1">
      <alignment horizontal="center" vertical="center"/>
    </xf>
    <xf numFmtId="42" fontId="12" fillId="0" borderId="54" xfId="0" applyNumberFormat="1" applyFont="1" applyFill="1" applyBorder="1" applyAlignment="1">
      <alignment horizontal="center" vertical="center"/>
    </xf>
    <xf numFmtId="42" fontId="12" fillId="0" borderId="40" xfId="0" applyNumberFormat="1" applyFont="1" applyFill="1" applyBorder="1" applyAlignment="1">
      <alignment horizontal="center" vertical="center"/>
    </xf>
    <xf numFmtId="0" fontId="9" fillId="0" borderId="117" xfId="0" applyFont="1" applyFill="1" applyBorder="1" applyAlignment="1">
      <alignment horizontal="center" vertical="center" wrapText="1"/>
    </xf>
    <xf numFmtId="0" fontId="9" fillId="0" borderId="118" xfId="0" applyFont="1" applyFill="1" applyBorder="1" applyAlignment="1">
      <alignment horizontal="center" vertical="center" wrapText="1"/>
    </xf>
    <xf numFmtId="0" fontId="9" fillId="0" borderId="11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164" fontId="9" fillId="0" borderId="83" xfId="0" applyNumberFormat="1" applyFont="1" applyBorder="1" applyAlignment="1">
      <alignment horizontal="center"/>
    </xf>
    <xf numFmtId="164" fontId="9" fillId="0" borderId="75" xfId="0" applyNumberFormat="1" applyFont="1" applyBorder="1" applyAlignment="1">
      <alignment horizontal="center"/>
    </xf>
    <xf numFmtId="164" fontId="9" fillId="0" borderId="84" xfId="0" applyNumberFormat="1" applyFont="1" applyBorder="1" applyAlignment="1">
      <alignment horizontal="center"/>
    </xf>
    <xf numFmtId="0" fontId="54" fillId="6" borderId="0" xfId="0" applyFont="1" applyFill="1" applyAlignment="1">
      <alignment horizontal="center" vertical="center" textRotation="90"/>
    </xf>
    <xf numFmtId="0" fontId="21" fillId="0" borderId="132" xfId="0" applyFont="1" applyBorder="1" applyAlignment="1">
      <alignment horizontal="center" vertical="center"/>
    </xf>
    <xf numFmtId="0" fontId="21" fillId="0" borderId="128" xfId="0" applyFont="1" applyBorder="1" applyAlignment="1">
      <alignment horizontal="center" vertical="center"/>
    </xf>
    <xf numFmtId="0" fontId="21" fillId="0" borderId="12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26" xfId="0" applyFont="1" applyBorder="1" applyAlignment="1">
      <alignment horizontal="left"/>
    </xf>
    <xf numFmtId="0" fontId="0" fillId="0" borderId="26" xfId="0" applyBorder="1" applyAlignment="1"/>
  </cellXfs>
  <cellStyles count="6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28515625" style="25" bestFit="1" customWidth="1"/>
    <col min="2" max="2" width="30.28515625" bestFit="1" customWidth="1"/>
    <col min="3" max="3" width="3" customWidth="1"/>
    <col min="4" max="4" width="14.42578125" style="629" customWidth="1"/>
    <col min="5" max="5" width="3" customWidth="1"/>
    <col min="6" max="6" width="14.42578125" style="327" bestFit="1" customWidth="1"/>
    <col min="7" max="7" width="3" customWidth="1"/>
    <col min="8" max="8" width="9.5703125" bestFit="1" customWidth="1"/>
    <col min="9" max="9" width="13.42578125" bestFit="1" customWidth="1"/>
  </cols>
  <sheetData>
    <row r="1" spans="1:10" ht="33" customHeight="1" thickBot="1" x14ac:dyDescent="0.25">
      <c r="A1" s="938">
        <v>2018</v>
      </c>
      <c r="B1" s="939" t="s">
        <v>509</v>
      </c>
      <c r="C1" s="939"/>
      <c r="D1" s="940" t="s">
        <v>690</v>
      </c>
      <c r="E1" s="941"/>
      <c r="F1" s="942" t="s">
        <v>754</v>
      </c>
      <c r="G1" s="947"/>
      <c r="H1" s="952"/>
      <c r="I1" s="953"/>
      <c r="J1" s="954"/>
    </row>
    <row r="2" spans="1:10" ht="12.75" customHeight="1" x14ac:dyDescent="0.2">
      <c r="A2" s="934">
        <v>407</v>
      </c>
      <c r="B2" s="935" t="s">
        <v>235</v>
      </c>
      <c r="C2" s="624"/>
      <c r="D2" s="630">
        <v>8100</v>
      </c>
      <c r="E2" s="554"/>
      <c r="F2" s="943">
        <f>REVENUE!I3</f>
        <v>8100</v>
      </c>
      <c r="G2" s="947"/>
      <c r="H2" s="948"/>
      <c r="I2" s="607"/>
      <c r="J2" s="11"/>
    </row>
    <row r="3" spans="1:10" ht="12.6" customHeight="1" x14ac:dyDescent="0.2">
      <c r="A3" s="70">
        <v>410</v>
      </c>
      <c r="B3" s="71" t="s">
        <v>234</v>
      </c>
      <c r="C3" s="624"/>
      <c r="D3" s="630">
        <v>2881843</v>
      </c>
      <c r="E3" s="554"/>
      <c r="F3" s="944">
        <f>REVENUE!J4</f>
        <v>3019185.1950000003</v>
      </c>
      <c r="G3" s="947"/>
      <c r="H3" s="948"/>
      <c r="I3" s="607"/>
      <c r="J3" s="949"/>
    </row>
    <row r="4" spans="1:10" ht="12.6" customHeight="1" x14ac:dyDescent="0.2">
      <c r="A4" s="70">
        <v>415</v>
      </c>
      <c r="B4" s="71" t="s">
        <v>23</v>
      </c>
      <c r="C4" s="624"/>
      <c r="D4" s="630">
        <v>2487038</v>
      </c>
      <c r="E4" s="554"/>
      <c r="F4" s="944">
        <f>REVENUE!I7</f>
        <v>2598955.0444</v>
      </c>
      <c r="G4" s="947"/>
      <c r="H4" s="948"/>
      <c r="I4" s="607"/>
      <c r="J4" s="949"/>
    </row>
    <row r="5" spans="1:10" ht="12.6" customHeight="1" x14ac:dyDescent="0.2">
      <c r="A5" s="70" t="s">
        <v>275</v>
      </c>
      <c r="B5" s="71" t="s">
        <v>276</v>
      </c>
      <c r="C5" s="624"/>
      <c r="D5" s="630">
        <v>13600</v>
      </c>
      <c r="E5" s="554"/>
      <c r="F5" s="944">
        <f>REVENUE!J8</f>
        <v>13600</v>
      </c>
      <c r="G5" s="947"/>
      <c r="H5" s="948"/>
      <c r="I5" s="607"/>
      <c r="J5" s="949"/>
    </row>
    <row r="6" spans="1:10" ht="12.6" customHeight="1" x14ac:dyDescent="0.2">
      <c r="A6" s="70" t="s">
        <v>68</v>
      </c>
      <c r="B6" s="71" t="s">
        <v>69</v>
      </c>
      <c r="C6" s="624"/>
      <c r="D6" s="630">
        <v>134400</v>
      </c>
      <c r="E6" s="554"/>
      <c r="F6" s="944">
        <f>REVENUE!J11</f>
        <v>134400</v>
      </c>
      <c r="G6" s="947"/>
      <c r="H6" s="948"/>
      <c r="I6" s="607"/>
      <c r="J6" s="949"/>
    </row>
    <row r="7" spans="1:10" hidden="1" x14ac:dyDescent="0.2">
      <c r="A7" s="70">
        <v>475</v>
      </c>
      <c r="B7" s="71" t="s">
        <v>70</v>
      </c>
      <c r="C7" s="624"/>
      <c r="D7" s="630"/>
      <c r="E7" s="554"/>
      <c r="F7" s="944">
        <f>REVENUE!I14</f>
        <v>0</v>
      </c>
      <c r="G7" s="947"/>
      <c r="H7" s="948"/>
      <c r="I7" s="607"/>
      <c r="J7" s="11"/>
    </row>
    <row r="8" spans="1:10" ht="12.6" customHeight="1" x14ac:dyDescent="0.2">
      <c r="A8" s="70" t="s">
        <v>71</v>
      </c>
      <c r="B8" s="71" t="s">
        <v>72</v>
      </c>
      <c r="C8" s="624"/>
      <c r="D8" s="630">
        <v>2500</v>
      </c>
      <c r="E8" s="554"/>
      <c r="F8" s="944">
        <f>REVENUE!J15</f>
        <v>2500</v>
      </c>
      <c r="G8" s="947"/>
      <c r="H8" s="948"/>
      <c r="I8" s="607"/>
      <c r="J8" s="11"/>
    </row>
    <row r="9" spans="1:10" ht="12.6" customHeight="1" x14ac:dyDescent="0.2">
      <c r="A9" s="616" t="s">
        <v>364</v>
      </c>
      <c r="B9" s="392" t="s">
        <v>73</v>
      </c>
      <c r="C9" s="624"/>
      <c r="D9" s="630">
        <v>697000</v>
      </c>
      <c r="E9" s="554"/>
      <c r="F9" s="944">
        <f>REVENUE!J17</f>
        <v>2000</v>
      </c>
      <c r="G9" s="947"/>
      <c r="H9" s="948"/>
      <c r="I9" s="607"/>
      <c r="J9" s="949"/>
    </row>
    <row r="10" spans="1:10" ht="3" customHeight="1" x14ac:dyDescent="0.2">
      <c r="A10" s="618"/>
      <c r="B10" s="619"/>
      <c r="C10" s="92"/>
      <c r="D10" s="648"/>
      <c r="E10" s="607"/>
      <c r="F10" s="617"/>
      <c r="G10" s="947"/>
      <c r="H10" s="948"/>
      <c r="I10" s="607"/>
      <c r="J10" s="11"/>
    </row>
    <row r="11" spans="1:10" s="330" customFormat="1" ht="20.25" customHeight="1" x14ac:dyDescent="0.2">
      <c r="A11" s="328"/>
      <c r="B11" s="329" t="s">
        <v>119</v>
      </c>
      <c r="C11" s="649"/>
      <c r="D11" s="650">
        <f>SUM(D2:D10)</f>
        <v>6224481</v>
      </c>
      <c r="E11" s="615"/>
      <c r="F11" s="945">
        <f>SUM(F2:F10)</f>
        <v>5778740.2394000003</v>
      </c>
      <c r="G11" s="950"/>
      <c r="H11" s="948"/>
      <c r="I11" s="607"/>
      <c r="J11" s="951"/>
    </row>
    <row r="12" spans="1:10" ht="22.5" customHeight="1" thickBot="1" x14ac:dyDescent="0.25">
      <c r="A12" s="326" t="s">
        <v>361</v>
      </c>
      <c r="B12" s="255" t="s">
        <v>238</v>
      </c>
      <c r="C12" s="255"/>
      <c r="D12" s="633"/>
      <c r="E12" s="937"/>
      <c r="F12" s="946"/>
      <c r="G12" s="947"/>
      <c r="H12" s="948"/>
      <c r="I12" s="607"/>
      <c r="J12" s="11"/>
    </row>
    <row r="13" spans="1:10" ht="12.6" customHeight="1" x14ac:dyDescent="0.2">
      <c r="A13" s="73">
        <v>501</v>
      </c>
      <c r="B13" s="74" t="s">
        <v>103</v>
      </c>
      <c r="C13" s="625"/>
      <c r="D13" s="643">
        <v>21659</v>
      </c>
      <c r="E13" s="607"/>
      <c r="F13" s="936">
        <f>'501 PROPERTY TAX FEES'!H12</f>
        <v>23872.6</v>
      </c>
      <c r="H13" s="666"/>
      <c r="I13" s="254"/>
    </row>
    <row r="14" spans="1:10" ht="12.6" customHeight="1" x14ac:dyDescent="0.2">
      <c r="A14" s="75">
        <v>502</v>
      </c>
      <c r="B14" s="72" t="s">
        <v>176</v>
      </c>
      <c r="C14" s="626"/>
      <c r="D14" s="636">
        <v>49741</v>
      </c>
      <c r="E14" s="607"/>
      <c r="F14" s="608">
        <f>'502 SALES TAX COLLECTION COSTS'!H12</f>
        <v>51979.100888000001</v>
      </c>
      <c r="H14" s="666"/>
      <c r="I14" s="254"/>
    </row>
    <row r="15" spans="1:10" ht="12.6" customHeight="1" x14ac:dyDescent="0.2">
      <c r="A15" s="76">
        <v>503</v>
      </c>
      <c r="B15" s="77" t="s">
        <v>127</v>
      </c>
      <c r="C15" s="626"/>
      <c r="D15" s="641">
        <v>28798</v>
      </c>
      <c r="E15" s="607"/>
      <c r="F15" s="609">
        <f>'503 SUNSET VALLEY'!H11</f>
        <v>28500</v>
      </c>
      <c r="H15" s="666"/>
      <c r="I15" s="254"/>
      <c r="J15" s="249"/>
    </row>
    <row r="16" spans="1:10" ht="12.6" customHeight="1" x14ac:dyDescent="0.2">
      <c r="A16" s="78">
        <v>601</v>
      </c>
      <c r="B16" s="79" t="s">
        <v>230</v>
      </c>
      <c r="C16" s="626"/>
      <c r="D16" s="640">
        <v>695000</v>
      </c>
      <c r="E16" s="607"/>
      <c r="F16" s="610">
        <f>'601 APPARATUS PMTS.'!H14+'601 APPARATUS PMTS.'!I14</f>
        <v>0</v>
      </c>
      <c r="H16" s="666"/>
      <c r="I16" s="254"/>
      <c r="J16" s="249"/>
    </row>
    <row r="17" spans="1:10" ht="12.6" customHeight="1" x14ac:dyDescent="0.2">
      <c r="A17" s="75">
        <v>602</v>
      </c>
      <c r="B17" s="80" t="s">
        <v>121</v>
      </c>
      <c r="C17" s="625"/>
      <c r="D17" s="637">
        <v>1260</v>
      </c>
      <c r="E17" s="607"/>
      <c r="F17" s="611">
        <f>'602 ALPHA PAGERS'!H11</f>
        <v>1730</v>
      </c>
      <c r="H17" s="666"/>
      <c r="I17" s="254"/>
      <c r="J17" s="249"/>
    </row>
    <row r="18" spans="1:10" ht="12.6" customHeight="1" x14ac:dyDescent="0.2">
      <c r="A18" s="75">
        <v>603</v>
      </c>
      <c r="B18" s="80" t="s">
        <v>215</v>
      </c>
      <c r="C18" s="625"/>
      <c r="D18" s="637">
        <v>181453</v>
      </c>
      <c r="E18" s="607"/>
      <c r="F18" s="612">
        <f>'603 DISPATCH &amp; COMM'!H18</f>
        <v>203601.6</v>
      </c>
      <c r="H18" s="666"/>
      <c r="I18" s="254"/>
      <c r="J18" s="249"/>
    </row>
    <row r="19" spans="1:10" ht="12.6" customHeight="1" x14ac:dyDescent="0.2">
      <c r="A19" s="70">
        <v>604</v>
      </c>
      <c r="B19" s="72" t="s">
        <v>120</v>
      </c>
      <c r="C19" s="626"/>
      <c r="D19" s="636">
        <v>30000</v>
      </c>
      <c r="E19" s="607"/>
      <c r="F19" s="612">
        <f>'604 FUEL'!H9</f>
        <v>30000</v>
      </c>
      <c r="H19" s="666"/>
      <c r="I19" s="254"/>
    </row>
    <row r="20" spans="1:10" ht="12.6" customHeight="1" x14ac:dyDescent="0.2">
      <c r="A20" s="75">
        <v>605</v>
      </c>
      <c r="B20" s="81" t="s">
        <v>189</v>
      </c>
      <c r="C20" s="627"/>
      <c r="D20" s="638">
        <v>70177</v>
      </c>
      <c r="E20" s="607"/>
      <c r="F20" s="612">
        <f>'605 SCBA'!H24</f>
        <v>34992</v>
      </c>
      <c r="H20" s="666"/>
      <c r="I20" s="254"/>
      <c r="J20" s="249"/>
    </row>
    <row r="21" spans="1:10" ht="12.6" customHeight="1" x14ac:dyDescent="0.2">
      <c r="A21" s="75">
        <v>606</v>
      </c>
      <c r="B21" s="81" t="s">
        <v>115</v>
      </c>
      <c r="C21" s="627"/>
      <c r="D21" s="638">
        <v>98200</v>
      </c>
      <c r="E21" s="607"/>
      <c r="F21" s="612">
        <f>'606 VEH MTN REP'!H23</f>
        <v>97100</v>
      </c>
      <c r="H21" s="666"/>
      <c r="I21" s="254"/>
    </row>
    <row r="22" spans="1:10" ht="12.6" customHeight="1" x14ac:dyDescent="0.2">
      <c r="A22" s="75">
        <v>608</v>
      </c>
      <c r="B22" s="80" t="s">
        <v>216</v>
      </c>
      <c r="C22" s="625"/>
      <c r="D22" s="637">
        <v>84200</v>
      </c>
      <c r="E22" s="607"/>
      <c r="F22" s="612">
        <f>'608 VEHICLE SUPPLIES'!H29</f>
        <v>52950</v>
      </c>
      <c r="H22" s="666"/>
      <c r="I22" s="254"/>
      <c r="J22" s="249"/>
    </row>
    <row r="23" spans="1:10" ht="12.6" customHeight="1" x14ac:dyDescent="0.2">
      <c r="A23" s="75">
        <v>609</v>
      </c>
      <c r="B23" s="80" t="s">
        <v>171</v>
      </c>
      <c r="C23" s="625"/>
      <c r="D23" s="637">
        <v>125522</v>
      </c>
      <c r="E23" s="254"/>
      <c r="F23" s="612">
        <f>'609 UNIFORMS &amp; PROTECTIVE GEAR'!H12</f>
        <v>81993.5</v>
      </c>
      <c r="H23" s="666"/>
      <c r="I23" s="254"/>
      <c r="J23" s="249"/>
    </row>
    <row r="24" spans="1:10" ht="12.6" customHeight="1" x14ac:dyDescent="0.2">
      <c r="A24" s="75">
        <v>611</v>
      </c>
      <c r="B24" s="80" t="s">
        <v>653</v>
      </c>
      <c r="C24" s="625"/>
      <c r="D24" s="637">
        <v>24025</v>
      </c>
      <c r="E24" s="254"/>
      <c r="F24" s="612">
        <f>'611 EMS SUPPLIES'!H13</f>
        <v>11225</v>
      </c>
      <c r="H24" s="666"/>
      <c r="I24" s="254"/>
      <c r="J24" s="249"/>
    </row>
    <row r="25" spans="1:10" ht="12.6" customHeight="1" x14ac:dyDescent="0.2">
      <c r="A25" s="76">
        <v>612</v>
      </c>
      <c r="B25" s="82" t="s">
        <v>652</v>
      </c>
      <c r="C25" s="625"/>
      <c r="D25" s="651">
        <v>800</v>
      </c>
      <c r="E25" s="254"/>
      <c r="F25" s="609">
        <f>'612 REHAB SUPPLIES'!H10</f>
        <v>800</v>
      </c>
      <c r="H25" s="666"/>
      <c r="I25" s="254"/>
    </row>
    <row r="26" spans="1:10" ht="12.6" customHeight="1" x14ac:dyDescent="0.2">
      <c r="A26" s="76">
        <v>613</v>
      </c>
      <c r="B26" s="82" t="s">
        <v>239</v>
      </c>
      <c r="C26" s="625"/>
      <c r="D26" s="642">
        <v>19500</v>
      </c>
      <c r="E26" s="254"/>
      <c r="F26" s="609">
        <f>'613 AUTO INSURANCE'!H8</f>
        <v>20900</v>
      </c>
      <c r="H26" s="666"/>
      <c r="I26" s="254"/>
    </row>
    <row r="27" spans="1:10" ht="12.6" customHeight="1" x14ac:dyDescent="0.2">
      <c r="A27" s="83">
        <v>632</v>
      </c>
      <c r="B27" s="79" t="s">
        <v>190</v>
      </c>
      <c r="C27" s="626"/>
      <c r="D27" s="640">
        <v>84500</v>
      </c>
      <c r="E27" s="254"/>
      <c r="F27" s="610">
        <f>'632 FIRE &amp; RESCUE TRAINING'!H34</f>
        <v>107525</v>
      </c>
      <c r="H27" s="666"/>
      <c r="I27" s="254"/>
      <c r="J27" s="249"/>
    </row>
    <row r="28" spans="1:10" ht="12.6" customHeight="1" x14ac:dyDescent="0.2">
      <c r="A28" s="75">
        <v>633</v>
      </c>
      <c r="B28" s="80" t="s">
        <v>174</v>
      </c>
      <c r="C28" s="625"/>
      <c r="D28" s="637">
        <v>45420</v>
      </c>
      <c r="E28" s="254"/>
      <c r="F28" s="612">
        <f>'633 SEMINARS &amp; CONFERENCES'!H22</f>
        <v>56450</v>
      </c>
      <c r="H28" s="666"/>
      <c r="I28" s="254"/>
      <c r="J28" s="249"/>
    </row>
    <row r="29" spans="1:10" ht="12.6" customHeight="1" x14ac:dyDescent="0.2">
      <c r="A29" s="76">
        <v>634</v>
      </c>
      <c r="B29" s="82" t="s">
        <v>651</v>
      </c>
      <c r="C29" s="625"/>
      <c r="D29" s="637">
        <v>49400</v>
      </c>
      <c r="E29" s="254"/>
      <c r="F29" s="609">
        <f>'634 FIRE ACADEMY'!H32</f>
        <v>57300</v>
      </c>
      <c r="H29" s="666"/>
      <c r="I29" s="254"/>
      <c r="J29" s="249"/>
    </row>
    <row r="30" spans="1:10" ht="12.6" customHeight="1" x14ac:dyDescent="0.2">
      <c r="A30" s="76">
        <v>635</v>
      </c>
      <c r="B30" s="82" t="s">
        <v>650</v>
      </c>
      <c r="C30" s="625"/>
      <c r="D30" s="651">
        <v>13800</v>
      </c>
      <c r="E30" s="254"/>
      <c r="F30" s="609">
        <f>'635 EMT CERT COURSE'!H19</f>
        <v>19300</v>
      </c>
      <c r="H30" s="666"/>
      <c r="I30" s="254"/>
      <c r="J30" s="249"/>
    </row>
    <row r="31" spans="1:10" ht="12.6" customHeight="1" x14ac:dyDescent="0.2">
      <c r="A31" s="85">
        <v>636</v>
      </c>
      <c r="B31" s="86" t="s">
        <v>367</v>
      </c>
      <c r="C31" s="625"/>
      <c r="D31" s="642">
        <v>2600</v>
      </c>
      <c r="E31" s="254"/>
      <c r="F31" s="609">
        <f>'636 VENDING MACHINES'!G12</f>
        <v>2600</v>
      </c>
      <c r="H31" s="666"/>
      <c r="I31" s="254"/>
    </row>
    <row r="32" spans="1:10" ht="12.6" customHeight="1" x14ac:dyDescent="0.2">
      <c r="A32" s="73">
        <v>641</v>
      </c>
      <c r="B32" s="74" t="s">
        <v>173</v>
      </c>
      <c r="C32" s="625"/>
      <c r="D32" s="643">
        <v>893886</v>
      </c>
      <c r="E32" s="254"/>
      <c r="F32" s="610">
        <f>'641 BENEFITS'!G27</f>
        <v>1032792.7258864093</v>
      </c>
      <c r="H32" s="666"/>
      <c r="I32" s="254"/>
      <c r="J32" s="249"/>
    </row>
    <row r="33" spans="1:10" ht="12.6" customHeight="1" x14ac:dyDescent="0.2">
      <c r="A33" s="75">
        <v>642</v>
      </c>
      <c r="B33" s="80" t="s">
        <v>524</v>
      </c>
      <c r="C33" s="625"/>
      <c r="D33" s="637">
        <v>2285522</v>
      </c>
      <c r="E33" s="254"/>
      <c r="F33" s="613">
        <f>'642 PAYROLL'!K47</f>
        <v>2510435.8649600004</v>
      </c>
      <c r="H33" s="666"/>
      <c r="I33" s="254"/>
      <c r="J33" s="249"/>
    </row>
    <row r="34" spans="1:10" ht="12.6" customHeight="1" x14ac:dyDescent="0.2">
      <c r="A34" s="75">
        <v>643</v>
      </c>
      <c r="B34" s="80" t="s">
        <v>44</v>
      </c>
      <c r="C34" s="625"/>
      <c r="D34" s="637">
        <v>3700</v>
      </c>
      <c r="E34" s="254"/>
      <c r="F34" s="612">
        <f>'643 RECOGNITION'!H14</f>
        <v>3900</v>
      </c>
      <c r="H34" s="666"/>
      <c r="I34" s="254"/>
      <c r="J34" s="249"/>
    </row>
    <row r="35" spans="1:10" ht="12.6" customHeight="1" x14ac:dyDescent="0.2">
      <c r="A35" s="75">
        <v>644</v>
      </c>
      <c r="B35" s="80" t="s">
        <v>74</v>
      </c>
      <c r="C35" s="625"/>
      <c r="D35" s="637">
        <v>13175</v>
      </c>
      <c r="E35" s="254"/>
      <c r="F35" s="609">
        <f>'644 CERTIFICATIONS'!H22</f>
        <v>13435</v>
      </c>
      <c r="H35" s="666"/>
      <c r="I35" s="254"/>
    </row>
    <row r="36" spans="1:10" ht="11.25" customHeight="1" x14ac:dyDescent="0.2">
      <c r="A36" s="85">
        <v>645</v>
      </c>
      <c r="B36" s="86" t="s">
        <v>104</v>
      </c>
      <c r="C36" s="625"/>
      <c r="D36" s="642">
        <v>400</v>
      </c>
      <c r="E36" s="254"/>
      <c r="F36" s="609">
        <f>'645 RECRUITMENT'!H18</f>
        <v>400</v>
      </c>
      <c r="H36" s="666"/>
      <c r="I36" s="254"/>
      <c r="J36" s="249"/>
    </row>
    <row r="37" spans="1:10" ht="12.6" customHeight="1" x14ac:dyDescent="0.2">
      <c r="A37" s="83">
        <v>651</v>
      </c>
      <c r="B37" s="84" t="s">
        <v>172</v>
      </c>
      <c r="C37" s="625"/>
      <c r="D37" s="643">
        <v>102200</v>
      </c>
      <c r="E37" s="254"/>
      <c r="F37" s="610">
        <f>'651 BLDG GROUND MAINT'!H34</f>
        <v>129136</v>
      </c>
      <c r="H37" s="666"/>
      <c r="I37" s="254"/>
      <c r="J37" s="249"/>
    </row>
    <row r="38" spans="1:10" ht="12.6" customHeight="1" x14ac:dyDescent="0.2">
      <c r="A38" s="75">
        <v>652</v>
      </c>
      <c r="B38" s="80" t="s">
        <v>168</v>
      </c>
      <c r="C38" s="625"/>
      <c r="D38" s="637">
        <v>10946</v>
      </c>
      <c r="E38" s="254"/>
      <c r="F38" s="612">
        <f>'652 OFFICE SUPPLIES'!H20</f>
        <v>11745.6</v>
      </c>
      <c r="H38" s="666"/>
      <c r="I38" s="254"/>
    </row>
    <row r="39" spans="1:10" ht="12.6" customHeight="1" x14ac:dyDescent="0.2">
      <c r="A39" s="75">
        <v>653</v>
      </c>
      <c r="B39" s="80" t="s">
        <v>177</v>
      </c>
      <c r="C39" s="625"/>
      <c r="D39" s="637">
        <v>10900</v>
      </c>
      <c r="E39" s="607"/>
      <c r="F39" s="612">
        <f>'653 STATION SUPPLIES'!H16</f>
        <v>11400</v>
      </c>
      <c r="H39" s="666"/>
      <c r="I39" s="254"/>
    </row>
    <row r="40" spans="1:10" ht="12.6" customHeight="1" x14ac:dyDescent="0.2">
      <c r="A40" s="75">
        <v>654</v>
      </c>
      <c r="B40" s="80" t="s">
        <v>125</v>
      </c>
      <c r="C40" s="625"/>
      <c r="D40" s="637">
        <v>1095</v>
      </c>
      <c r="E40" s="607"/>
      <c r="F40" s="612">
        <f>'654 BANK FEES'!H13</f>
        <v>1145</v>
      </c>
      <c r="H40" s="666"/>
      <c r="I40" s="254"/>
      <c r="J40" s="249"/>
    </row>
    <row r="41" spans="1:10" ht="12.6" customHeight="1" x14ac:dyDescent="0.2">
      <c r="A41" s="75">
        <v>655</v>
      </c>
      <c r="B41" s="80" t="s">
        <v>175</v>
      </c>
      <c r="C41" s="625"/>
      <c r="D41" s="637">
        <v>4399</v>
      </c>
      <c r="E41" s="607"/>
      <c r="F41" s="612">
        <f>'655 DUES AND SUBSCRIPTIONS'!H24</f>
        <v>4704</v>
      </c>
      <c r="H41" s="666"/>
      <c r="I41" s="254"/>
      <c r="J41" s="249"/>
    </row>
    <row r="42" spans="1:10" ht="12.6" customHeight="1" x14ac:dyDescent="0.2">
      <c r="A42" s="75">
        <v>656</v>
      </c>
      <c r="B42" s="80" t="s">
        <v>126</v>
      </c>
      <c r="C42" s="625"/>
      <c r="D42" s="637">
        <v>16500</v>
      </c>
      <c r="E42" s="607"/>
      <c r="F42" s="612">
        <f>'656 INFORMATION TECHNOLOGY'!H26</f>
        <v>28477</v>
      </c>
      <c r="H42" s="666"/>
      <c r="I42" s="254"/>
      <c r="J42" s="249"/>
    </row>
    <row r="43" spans="1:10" ht="12.6" customHeight="1" x14ac:dyDescent="0.2">
      <c r="A43" s="75">
        <v>657</v>
      </c>
      <c r="B43" s="80" t="s">
        <v>124</v>
      </c>
      <c r="C43" s="625"/>
      <c r="D43" s="637">
        <v>875</v>
      </c>
      <c r="E43" s="607"/>
      <c r="F43" s="612">
        <f>'657 POSTAGE'!H13</f>
        <v>1050</v>
      </c>
      <c r="H43" s="666"/>
      <c r="I43" s="254"/>
      <c r="J43" s="249"/>
    </row>
    <row r="44" spans="1:10" ht="12.6" customHeight="1" x14ac:dyDescent="0.2">
      <c r="A44" s="75">
        <v>658</v>
      </c>
      <c r="B44" s="80" t="s">
        <v>231</v>
      </c>
      <c r="C44" s="625"/>
      <c r="D44" s="637">
        <v>33600</v>
      </c>
      <c r="E44" s="607"/>
      <c r="F44" s="612">
        <f>'658 PROP &amp; LIABILITY'!H16</f>
        <v>35800</v>
      </c>
      <c r="H44" s="666"/>
      <c r="I44" s="254"/>
    </row>
    <row r="45" spans="1:10" ht="12.6" customHeight="1" x14ac:dyDescent="0.2">
      <c r="A45" s="75">
        <v>659</v>
      </c>
      <c r="B45" s="80" t="s">
        <v>204</v>
      </c>
      <c r="C45" s="625"/>
      <c r="D45" s="637">
        <v>32000</v>
      </c>
      <c r="E45" s="607"/>
      <c r="F45" s="612">
        <f>'659 PROFESSIONAL SVCS'!H14</f>
        <v>34000</v>
      </c>
      <c r="H45" s="666"/>
      <c r="I45" s="254"/>
    </row>
    <row r="46" spans="1:10" ht="12.6" customHeight="1" x14ac:dyDescent="0.2">
      <c r="A46" s="75">
        <v>660</v>
      </c>
      <c r="B46" s="80" t="s">
        <v>205</v>
      </c>
      <c r="C46" s="625"/>
      <c r="D46" s="637">
        <v>7500</v>
      </c>
      <c r="E46" s="607"/>
      <c r="F46" s="612">
        <f>'660 PUBLIC NOTICES'!H13</f>
        <v>57800</v>
      </c>
      <c r="H46" s="666"/>
      <c r="I46" s="254"/>
      <c r="J46" s="249"/>
    </row>
    <row r="47" spans="1:10" ht="12.6" customHeight="1" x14ac:dyDescent="0.2">
      <c r="A47" s="75">
        <v>661</v>
      </c>
      <c r="B47" s="80" t="s">
        <v>122</v>
      </c>
      <c r="C47" s="625"/>
      <c r="D47" s="637">
        <v>8200</v>
      </c>
      <c r="E47" s="607"/>
      <c r="F47" s="612">
        <f>'661 TELEPHONE'!H12</f>
        <v>9520</v>
      </c>
      <c r="H47" s="666"/>
      <c r="I47" s="254"/>
      <c r="J47" s="249"/>
    </row>
    <row r="48" spans="1:10" ht="12.6" customHeight="1" x14ac:dyDescent="0.2">
      <c r="A48" s="75">
        <v>662</v>
      </c>
      <c r="B48" s="80" t="s">
        <v>123</v>
      </c>
      <c r="C48" s="625"/>
      <c r="D48" s="637">
        <v>73440</v>
      </c>
      <c r="E48" s="607"/>
      <c r="F48" s="612">
        <f>'662 UTILITIES'!H17</f>
        <v>74639.64</v>
      </c>
      <c r="H48" s="666"/>
      <c r="I48" s="254"/>
    </row>
    <row r="49" spans="1:10" ht="12.6" customHeight="1" x14ac:dyDescent="0.2">
      <c r="A49" s="75">
        <v>663</v>
      </c>
      <c r="B49" s="80" t="s">
        <v>133</v>
      </c>
      <c r="C49" s="625"/>
      <c r="D49" s="637">
        <v>343450</v>
      </c>
      <c r="E49" s="607"/>
      <c r="F49" s="612">
        <f>'663 BOND DEBT SVC'!H15</f>
        <v>347850</v>
      </c>
      <c r="H49" s="666"/>
      <c r="I49" s="254"/>
    </row>
    <row r="50" spans="1:10" ht="12.6" customHeight="1" x14ac:dyDescent="0.2">
      <c r="A50" s="75">
        <v>664</v>
      </c>
      <c r="B50" s="80" t="s">
        <v>206</v>
      </c>
      <c r="C50" s="625"/>
      <c r="D50" s="637">
        <v>4000</v>
      </c>
      <c r="E50" s="607"/>
      <c r="F50" s="609">
        <f>'664 TCESD COMPENSATION'!H11</f>
        <v>4000</v>
      </c>
      <c r="H50" s="666"/>
      <c r="I50" s="254"/>
    </row>
    <row r="51" spans="1:10" x14ac:dyDescent="0.2">
      <c r="A51" s="75">
        <v>665</v>
      </c>
      <c r="B51" s="80" t="s">
        <v>26</v>
      </c>
      <c r="C51" s="625"/>
      <c r="D51" s="637">
        <v>27500</v>
      </c>
      <c r="E51" s="607"/>
      <c r="F51" s="612">
        <f>'665 GRANT MATCHING'!H13</f>
        <v>27500</v>
      </c>
      <c r="H51" s="666"/>
      <c r="I51" s="254"/>
      <c r="J51" s="249"/>
    </row>
    <row r="52" spans="1:10" ht="12.6" customHeight="1" x14ac:dyDescent="0.2">
      <c r="A52" s="75">
        <v>671</v>
      </c>
      <c r="B52" s="80" t="s">
        <v>105</v>
      </c>
      <c r="C52" s="625"/>
      <c r="D52" s="637">
        <v>800</v>
      </c>
      <c r="E52" s="607"/>
      <c r="F52" s="612">
        <f>'671 PREVENTION'!H17</f>
        <v>950</v>
      </c>
      <c r="H52" s="666"/>
      <c r="I52" s="254"/>
      <c r="J52" s="249"/>
    </row>
    <row r="53" spans="1:10" ht="12.6" customHeight="1" x14ac:dyDescent="0.2">
      <c r="A53" s="75">
        <v>672</v>
      </c>
      <c r="B53" s="80" t="s">
        <v>218</v>
      </c>
      <c r="C53" s="625"/>
      <c r="D53" s="637">
        <v>11200</v>
      </c>
      <c r="E53" s="607"/>
      <c r="F53" s="612">
        <f>'672 PUBLIC EDUCATION'!H15</f>
        <v>15700</v>
      </c>
      <c r="H53" s="666"/>
      <c r="I53" s="254"/>
      <c r="J53" s="249"/>
    </row>
    <row r="54" spans="1:10" ht="17.25" customHeight="1" thickBot="1" x14ac:dyDescent="0.25">
      <c r="A54" s="178"/>
      <c r="B54" s="179" t="s">
        <v>128</v>
      </c>
      <c r="C54" s="634"/>
      <c r="D54" s="639">
        <f>SUM(D13:D53)</f>
        <v>5511343</v>
      </c>
      <c r="E54" s="635"/>
      <c r="F54" s="555">
        <f>SUM(F13:F53)</f>
        <v>5239199.6317344094</v>
      </c>
      <c r="H54" s="666"/>
      <c r="I54" s="254"/>
    </row>
    <row r="55" spans="1:10" ht="13.5" hidden="1" thickTop="1" x14ac:dyDescent="0.2">
      <c r="B55" s="21" t="s">
        <v>240</v>
      </c>
      <c r="C55" s="628"/>
      <c r="D55" s="631"/>
      <c r="E55" s="607"/>
      <c r="F55" s="254"/>
      <c r="H55" s="666"/>
      <c r="I55" s="254"/>
    </row>
    <row r="56" spans="1:10" ht="8.25" customHeight="1" thickTop="1" x14ac:dyDescent="0.2">
      <c r="D56" s="632"/>
      <c r="E56" s="607"/>
      <c r="F56" s="254"/>
      <c r="H56" s="666"/>
      <c r="I56" s="254"/>
    </row>
    <row r="57" spans="1:10" ht="15" x14ac:dyDescent="0.35">
      <c r="B57" t="s">
        <v>755</v>
      </c>
      <c r="D57" s="614"/>
      <c r="E57" s="614"/>
      <c r="F57" s="614">
        <f>F11-F54</f>
        <v>539540.60766559094</v>
      </c>
      <c r="H57" s="666"/>
      <c r="I57" s="254"/>
    </row>
    <row r="58" spans="1:10" x14ac:dyDescent="0.2">
      <c r="E58" s="607"/>
      <c r="F58" s="254"/>
    </row>
    <row r="59" spans="1:10" x14ac:dyDescent="0.2">
      <c r="E59" s="607"/>
      <c r="F59" s="254"/>
    </row>
    <row r="60" spans="1:10" x14ac:dyDescent="0.2">
      <c r="E60" s="254"/>
      <c r="F60" s="254"/>
    </row>
    <row r="61" spans="1:10" x14ac:dyDescent="0.2">
      <c r="E61" s="254"/>
      <c r="F61" s="254"/>
    </row>
  </sheetData>
  <phoneticPr fontId="19" type="noConversion"/>
  <printOptions horizontalCentered="1"/>
  <pageMargins left="0.5" right="0.25" top="0.5" bottom="0.25" header="0" footer="0"/>
  <pageSetup orientation="portrait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2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3"/>
  <cols>
    <col min="1" max="1" width="33.28515625" style="97" bestFit="1" customWidth="1"/>
    <col min="2" max="4" width="11.7109375" style="27" hidden="1" customWidth="1"/>
    <col min="5" max="5" width="11.42578125" style="27" hidden="1" customWidth="1"/>
    <col min="6" max="6" width="11.85546875" style="27" customWidth="1"/>
    <col min="7" max="7" width="12" style="27" customWidth="1"/>
    <col min="8" max="8" width="12" style="27" bestFit="1" customWidth="1"/>
    <col min="9" max="16384" width="9.140625" style="27"/>
  </cols>
  <sheetData>
    <row r="1" spans="1:8" s="46" customFormat="1" ht="18.75" customHeight="1" x14ac:dyDescent="0.3">
      <c r="A1" s="578" t="s">
        <v>207</v>
      </c>
      <c r="B1" s="190"/>
      <c r="C1" s="190"/>
      <c r="D1" s="190"/>
      <c r="E1" s="203"/>
      <c r="F1" s="203"/>
      <c r="G1" s="203"/>
      <c r="H1" s="203"/>
    </row>
    <row r="2" spans="1:8" ht="18.75" customHeight="1" x14ac:dyDescent="0.3">
      <c r="A2" s="126"/>
      <c r="B2" s="98"/>
      <c r="C2" s="98"/>
      <c r="D2" s="98"/>
      <c r="E2" s="49"/>
      <c r="F2" s="49"/>
      <c r="G2" s="49"/>
      <c r="H2" s="49"/>
    </row>
    <row r="3" spans="1:8" s="46" customFormat="1" ht="18.75" customHeight="1" x14ac:dyDescent="0.3">
      <c r="A3" s="37" t="s">
        <v>130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s="123" customFormat="1" ht="18.75" customHeight="1" x14ac:dyDescent="0.3">
      <c r="A4" s="131"/>
      <c r="B4" s="101"/>
      <c r="C4" s="114"/>
      <c r="D4" s="114"/>
      <c r="E4" s="114"/>
      <c r="F4" s="737"/>
      <c r="G4" s="737"/>
      <c r="H4" s="737"/>
    </row>
    <row r="5" spans="1:8" s="46" customFormat="1" ht="17.100000000000001" customHeight="1" x14ac:dyDescent="0.3">
      <c r="A5" s="39" t="s">
        <v>153</v>
      </c>
      <c r="B5" s="42">
        <v>500</v>
      </c>
      <c r="C5" s="53">
        <v>500</v>
      </c>
      <c r="D5" s="53">
        <v>500</v>
      </c>
      <c r="E5" s="53">
        <v>500</v>
      </c>
      <c r="F5" s="738">
        <v>300</v>
      </c>
      <c r="G5" s="738">
        <v>300</v>
      </c>
      <c r="H5" s="738">
        <v>300</v>
      </c>
    </row>
    <row r="6" spans="1:8" s="46" customFormat="1" ht="17.100000000000001" customHeight="1" x14ac:dyDescent="0.3">
      <c r="A6" s="39" t="s">
        <v>153</v>
      </c>
      <c r="B6" s="42">
        <v>500</v>
      </c>
      <c r="C6" s="53">
        <v>500</v>
      </c>
      <c r="D6" s="53">
        <v>500</v>
      </c>
      <c r="E6" s="53">
        <v>500</v>
      </c>
      <c r="F6" s="738">
        <v>300</v>
      </c>
      <c r="G6" s="738">
        <v>300</v>
      </c>
      <c r="H6" s="738">
        <v>300</v>
      </c>
    </row>
    <row r="7" spans="1:8" ht="17.100000000000001" customHeight="1" x14ac:dyDescent="0.3">
      <c r="A7" s="39" t="s">
        <v>153</v>
      </c>
      <c r="B7" s="42">
        <v>500</v>
      </c>
      <c r="C7" s="53">
        <v>500</v>
      </c>
      <c r="D7" s="53">
        <v>500</v>
      </c>
      <c r="E7" s="53">
        <v>500</v>
      </c>
      <c r="F7" s="738">
        <v>300</v>
      </c>
      <c r="G7" s="738">
        <v>300</v>
      </c>
      <c r="H7" s="738">
        <v>300</v>
      </c>
    </row>
    <row r="8" spans="1:8" ht="17.100000000000001" customHeight="1" x14ac:dyDescent="0.3">
      <c r="A8" s="39" t="s">
        <v>153</v>
      </c>
      <c r="B8" s="42">
        <v>500</v>
      </c>
      <c r="C8" s="53">
        <v>500</v>
      </c>
      <c r="D8" s="53">
        <v>500</v>
      </c>
      <c r="E8" s="53">
        <v>500</v>
      </c>
      <c r="F8" s="738">
        <v>300</v>
      </c>
      <c r="G8" s="738">
        <v>300</v>
      </c>
      <c r="H8" s="738">
        <v>300</v>
      </c>
    </row>
    <row r="9" spans="1:8" ht="17.100000000000001" customHeight="1" x14ac:dyDescent="0.3">
      <c r="A9" s="39" t="s">
        <v>154</v>
      </c>
      <c r="B9" s="42">
        <v>1500</v>
      </c>
      <c r="C9" s="53">
        <v>1500</v>
      </c>
      <c r="D9" s="53">
        <v>2000</v>
      </c>
      <c r="E9" s="53"/>
      <c r="F9" s="738">
        <v>500</v>
      </c>
      <c r="G9" s="738">
        <v>500</v>
      </c>
      <c r="H9" s="738">
        <v>500</v>
      </c>
    </row>
    <row r="10" spans="1:8" ht="17.100000000000001" customHeight="1" x14ac:dyDescent="0.3">
      <c r="A10" s="39" t="s">
        <v>155</v>
      </c>
      <c r="B10" s="42">
        <v>1900</v>
      </c>
      <c r="C10" s="53">
        <v>4000</v>
      </c>
      <c r="D10" s="53">
        <v>5000</v>
      </c>
      <c r="E10" s="53">
        <v>5000</v>
      </c>
      <c r="F10" s="738">
        <v>5000</v>
      </c>
      <c r="G10" s="738">
        <v>5000</v>
      </c>
      <c r="H10" s="738">
        <v>5000</v>
      </c>
    </row>
    <row r="11" spans="1:8" ht="17.100000000000001" customHeight="1" x14ac:dyDescent="0.3">
      <c r="A11" s="39" t="s">
        <v>601</v>
      </c>
      <c r="B11" s="62">
        <v>1080</v>
      </c>
      <c r="C11" s="53">
        <v>1500</v>
      </c>
      <c r="D11" s="53">
        <v>1500</v>
      </c>
      <c r="E11" s="53">
        <v>1500</v>
      </c>
      <c r="F11" s="738">
        <f>30*35</f>
        <v>1050</v>
      </c>
      <c r="G11" s="738">
        <f>30*35</f>
        <v>1050</v>
      </c>
      <c r="H11" s="738">
        <f>30*35</f>
        <v>1050</v>
      </c>
    </row>
    <row r="12" spans="1:8" ht="17.100000000000001" customHeight="1" x14ac:dyDescent="0.3">
      <c r="A12" s="38" t="s">
        <v>602</v>
      </c>
      <c r="B12" s="62"/>
      <c r="C12" s="61">
        <v>1300</v>
      </c>
      <c r="D12" s="61">
        <v>1000</v>
      </c>
      <c r="E12" s="61">
        <v>1000</v>
      </c>
      <c r="F12" s="739">
        <f>35*29</f>
        <v>1015</v>
      </c>
      <c r="G12" s="739">
        <f>43*29</f>
        <v>1247</v>
      </c>
      <c r="H12" s="739">
        <f>43*29</f>
        <v>1247</v>
      </c>
    </row>
    <row r="13" spans="1:8" ht="17.100000000000001" customHeight="1" x14ac:dyDescent="0.3">
      <c r="A13" s="39" t="s">
        <v>603</v>
      </c>
      <c r="B13" s="62">
        <v>1000</v>
      </c>
      <c r="C13" s="53">
        <v>750</v>
      </c>
      <c r="D13" s="53">
        <v>1000</v>
      </c>
      <c r="E13" s="53"/>
      <c r="F13" s="738">
        <f>4*255</f>
        <v>1020</v>
      </c>
      <c r="G13" s="738">
        <f>4*255</f>
        <v>1020</v>
      </c>
      <c r="H13" s="738">
        <f>4*255</f>
        <v>1020</v>
      </c>
    </row>
    <row r="14" spans="1:8" ht="17.100000000000001" customHeight="1" x14ac:dyDescent="0.3">
      <c r="A14" s="39" t="s">
        <v>116</v>
      </c>
      <c r="B14" s="62">
        <v>100</v>
      </c>
      <c r="C14" s="53">
        <v>100</v>
      </c>
      <c r="D14" s="53">
        <v>100</v>
      </c>
      <c r="E14" s="53">
        <v>100</v>
      </c>
      <c r="F14" s="738">
        <v>100</v>
      </c>
      <c r="G14" s="738">
        <v>100</v>
      </c>
      <c r="H14" s="738">
        <v>100</v>
      </c>
    </row>
    <row r="15" spans="1:8" ht="17.100000000000001" customHeight="1" x14ac:dyDescent="0.3">
      <c r="A15" s="38" t="s">
        <v>468</v>
      </c>
      <c r="B15" s="62">
        <v>300</v>
      </c>
      <c r="C15" s="61">
        <v>750</v>
      </c>
      <c r="D15" s="61"/>
      <c r="E15" s="61"/>
      <c r="F15" s="739">
        <v>0</v>
      </c>
      <c r="G15" s="739">
        <v>0</v>
      </c>
      <c r="H15" s="739">
        <v>0</v>
      </c>
    </row>
    <row r="16" spans="1:8" ht="17.100000000000001" customHeight="1" x14ac:dyDescent="0.3">
      <c r="A16" s="38" t="s">
        <v>718</v>
      </c>
      <c r="B16" s="62">
        <v>2312</v>
      </c>
      <c r="C16" s="61"/>
      <c r="D16" s="61">
        <v>1000</v>
      </c>
      <c r="E16" s="61">
        <v>1000</v>
      </c>
      <c r="F16" s="739">
        <v>0</v>
      </c>
      <c r="G16" s="739">
        <v>0</v>
      </c>
      <c r="H16" s="739">
        <f>25*35</f>
        <v>875</v>
      </c>
    </row>
    <row r="17" spans="1:8" ht="17.100000000000001" customHeight="1" x14ac:dyDescent="0.3">
      <c r="A17" s="38" t="s">
        <v>469</v>
      </c>
      <c r="B17" s="62"/>
      <c r="C17" s="61"/>
      <c r="D17" s="61">
        <v>6800</v>
      </c>
      <c r="E17" s="61"/>
      <c r="F17" s="739">
        <v>2500</v>
      </c>
      <c r="G17" s="739">
        <v>0</v>
      </c>
      <c r="H17" s="739">
        <v>0</v>
      </c>
    </row>
    <row r="18" spans="1:8" ht="17.100000000000001" customHeight="1" x14ac:dyDescent="0.3">
      <c r="A18" s="38" t="s">
        <v>719</v>
      </c>
      <c r="B18" s="107"/>
      <c r="C18" s="106"/>
      <c r="D18" s="106">
        <v>18000</v>
      </c>
      <c r="E18" s="106"/>
      <c r="F18" s="740">
        <f>25*1055</f>
        <v>26375</v>
      </c>
      <c r="G18" s="740">
        <v>1000</v>
      </c>
      <c r="H18" s="740">
        <f>1000*12</f>
        <v>12000</v>
      </c>
    </row>
    <row r="19" spans="1:8" ht="17.100000000000001" customHeight="1" x14ac:dyDescent="0.3">
      <c r="A19" s="132" t="s">
        <v>529</v>
      </c>
      <c r="B19" s="107"/>
      <c r="C19" s="106"/>
      <c r="D19" s="106"/>
      <c r="E19" s="106">
        <v>62650.8</v>
      </c>
      <c r="F19" s="740">
        <f>10*5245</f>
        <v>52450</v>
      </c>
      <c r="G19" s="741">
        <f>10*5606</f>
        <v>56060</v>
      </c>
      <c r="H19" s="741">
        <v>0</v>
      </c>
    </row>
    <row r="20" spans="1:8" ht="17.100000000000001" customHeight="1" x14ac:dyDescent="0.3">
      <c r="A20" s="132" t="s">
        <v>530</v>
      </c>
      <c r="B20" s="107"/>
      <c r="C20" s="106"/>
      <c r="D20" s="106"/>
      <c r="E20" s="106">
        <v>20979</v>
      </c>
      <c r="F20" s="740">
        <v>10500</v>
      </c>
      <c r="G20" s="740">
        <v>0</v>
      </c>
      <c r="H20" s="740">
        <v>0</v>
      </c>
    </row>
    <row r="21" spans="1:8" ht="17.100000000000001" customHeight="1" x14ac:dyDescent="0.3">
      <c r="A21" s="132" t="s">
        <v>671</v>
      </c>
      <c r="B21" s="107"/>
      <c r="C21" s="106"/>
      <c r="D21" s="106"/>
      <c r="E21" s="106"/>
      <c r="F21" s="740">
        <v>0</v>
      </c>
      <c r="G21" s="741">
        <v>3000</v>
      </c>
      <c r="H21" s="741">
        <f>1500*2</f>
        <v>3000</v>
      </c>
    </row>
    <row r="22" spans="1:8" ht="17.100000000000001" customHeight="1" x14ac:dyDescent="0.3">
      <c r="A22" s="132" t="s">
        <v>720</v>
      </c>
      <c r="B22" s="107"/>
      <c r="C22" s="106"/>
      <c r="D22" s="106"/>
      <c r="E22" s="106"/>
      <c r="F22" s="740">
        <v>0</v>
      </c>
      <c r="G22" s="741">
        <v>0</v>
      </c>
      <c r="H22" s="741">
        <f>7000+2000</f>
        <v>9000</v>
      </c>
    </row>
    <row r="23" spans="1:8" ht="17.100000000000001" customHeight="1" thickBot="1" x14ac:dyDescent="0.35">
      <c r="A23" s="514"/>
      <c r="B23" s="62">
        <v>-200</v>
      </c>
      <c r="C23" s="61"/>
      <c r="D23" s="61"/>
      <c r="E23" s="61"/>
      <c r="F23" s="739"/>
      <c r="G23" s="742"/>
      <c r="H23" s="742"/>
    </row>
    <row r="24" spans="1:8" ht="18.75" customHeight="1" thickTop="1" x14ac:dyDescent="0.3">
      <c r="A24" s="88" t="s">
        <v>128</v>
      </c>
      <c r="B24" s="44">
        <f>SUM(B4:B21)</f>
        <v>10192</v>
      </c>
      <c r="C24" s="133">
        <f>SUM(C4:C21)</f>
        <v>11900</v>
      </c>
      <c r="D24" s="133">
        <f>SUM(D4:D21)</f>
        <v>38400</v>
      </c>
      <c r="E24" s="133">
        <f>SUM(E5:E23)</f>
        <v>94229.8</v>
      </c>
      <c r="F24" s="735">
        <f>SUM(F5:F23)</f>
        <v>101710</v>
      </c>
      <c r="G24" s="736">
        <f>SUM(G5:G23)</f>
        <v>70177</v>
      </c>
      <c r="H24" s="736">
        <f>SUM(H5:H23)</f>
        <v>34992</v>
      </c>
    </row>
    <row r="25" spans="1:8" ht="18.75" customHeight="1" x14ac:dyDescent="0.3">
      <c r="A25" s="17"/>
    </row>
    <row r="26" spans="1:8" ht="18.75" customHeight="1" x14ac:dyDescent="0.3">
      <c r="A26" s="17"/>
    </row>
    <row r="27" spans="1:8" ht="18.75" customHeight="1" x14ac:dyDescent="0.3">
      <c r="A27" s="17"/>
    </row>
    <row r="28" spans="1:8" ht="18.75" customHeight="1" x14ac:dyDescent="0.3">
      <c r="A28" s="17"/>
    </row>
    <row r="29" spans="1:8" ht="18.75" customHeight="1" x14ac:dyDescent="0.3">
      <c r="A29" s="17"/>
    </row>
    <row r="30" spans="1:8" ht="18.75" customHeight="1" x14ac:dyDescent="0.3">
      <c r="A30" s="17"/>
    </row>
    <row r="31" spans="1:8" ht="18.75" customHeight="1" x14ac:dyDescent="0.3">
      <c r="A31" s="17"/>
    </row>
    <row r="32" spans="1:8" ht="18.75" customHeight="1" x14ac:dyDescent="0.3">
      <c r="A32" s="17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3"/>
  <sheetViews>
    <sheetView workbookViewId="0"/>
  </sheetViews>
  <sheetFormatPr defaultRowHeight="16.5" x14ac:dyDescent="0.3"/>
  <cols>
    <col min="1" max="1" width="34.140625" style="111" customWidth="1"/>
    <col min="2" max="4" width="11.7109375" style="111" hidden="1" customWidth="1"/>
    <col min="5" max="5" width="12.5703125" style="111" hidden="1" customWidth="1"/>
    <col min="6" max="8" width="12.5703125" style="111" customWidth="1"/>
    <col min="9" max="16384" width="9.140625" style="111"/>
  </cols>
  <sheetData>
    <row r="1" spans="1:8" x14ac:dyDescent="0.3">
      <c r="A1" s="578" t="s">
        <v>537</v>
      </c>
      <c r="B1" s="203"/>
      <c r="C1" s="203"/>
      <c r="D1" s="203"/>
      <c r="E1" s="206"/>
      <c r="F1" s="206"/>
      <c r="G1" s="206"/>
      <c r="H1" s="206"/>
    </row>
    <row r="2" spans="1:8" x14ac:dyDescent="0.3">
      <c r="A2" s="126"/>
      <c r="B2" s="49"/>
      <c r="C2" s="49"/>
      <c r="D2" s="49"/>
      <c r="E2" s="49"/>
      <c r="F2" s="49"/>
      <c r="G2" s="49"/>
      <c r="H2" s="49"/>
    </row>
    <row r="3" spans="1:8" x14ac:dyDescent="0.3">
      <c r="A3" s="37" t="s">
        <v>130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x14ac:dyDescent="0.3">
      <c r="A4" s="54"/>
      <c r="B4" s="49"/>
      <c r="C4" s="54"/>
      <c r="D4" s="54"/>
      <c r="E4" s="54"/>
      <c r="F4" s="675"/>
      <c r="G4" s="675"/>
      <c r="H4" s="675"/>
    </row>
    <row r="5" spans="1:8" x14ac:dyDescent="0.3">
      <c r="A5" s="39" t="s">
        <v>118</v>
      </c>
      <c r="B5" s="49">
        <v>1800</v>
      </c>
      <c r="C5" s="36">
        <v>2100</v>
      </c>
      <c r="D5" s="36">
        <v>2100</v>
      </c>
      <c r="E5" s="36">
        <v>2100</v>
      </c>
      <c r="F5" s="743">
        <v>2200</v>
      </c>
      <c r="G5" s="743">
        <v>2400</v>
      </c>
      <c r="H5" s="743">
        <v>2400</v>
      </c>
    </row>
    <row r="6" spans="1:8" x14ac:dyDescent="0.3">
      <c r="A6" s="39" t="s">
        <v>285</v>
      </c>
      <c r="B6" s="49">
        <v>16000</v>
      </c>
      <c r="C6" s="49">
        <v>17000</v>
      </c>
      <c r="D6" s="49">
        <v>30000</v>
      </c>
      <c r="E6" s="49">
        <v>30000</v>
      </c>
      <c r="F6" s="738">
        <v>30000</v>
      </c>
      <c r="G6" s="738">
        <v>31000</v>
      </c>
      <c r="H6" s="738">
        <v>31000</v>
      </c>
    </row>
    <row r="7" spans="1:8" x14ac:dyDescent="0.3">
      <c r="A7" s="39" t="s">
        <v>117</v>
      </c>
      <c r="B7" s="49">
        <v>1000</v>
      </c>
      <c r="C7" s="36">
        <v>1200</v>
      </c>
      <c r="D7" s="36">
        <v>1350</v>
      </c>
      <c r="E7" s="36">
        <v>1350</v>
      </c>
      <c r="F7" s="743">
        <v>1500</v>
      </c>
      <c r="G7" s="743">
        <v>1600</v>
      </c>
      <c r="H7" s="743">
        <v>1600</v>
      </c>
    </row>
    <row r="8" spans="1:8" x14ac:dyDescent="0.3">
      <c r="A8" s="39" t="s">
        <v>194</v>
      </c>
      <c r="B8" s="49">
        <v>1000</v>
      </c>
      <c r="C8" s="49">
        <v>500</v>
      </c>
      <c r="D8" s="49">
        <v>600</v>
      </c>
      <c r="E8" s="49">
        <v>800</v>
      </c>
      <c r="F8" s="738">
        <v>800</v>
      </c>
      <c r="G8" s="738">
        <v>1200</v>
      </c>
      <c r="H8" s="738">
        <v>1200</v>
      </c>
    </row>
    <row r="9" spans="1:8" x14ac:dyDescent="0.3">
      <c r="A9" s="39" t="s">
        <v>284</v>
      </c>
      <c r="B9" s="49">
        <v>19000</v>
      </c>
      <c r="C9" s="49">
        <v>20000</v>
      </c>
      <c r="D9" s="49">
        <v>25000</v>
      </c>
      <c r="E9" s="49">
        <v>25000</v>
      </c>
      <c r="F9" s="738">
        <v>25000</v>
      </c>
      <c r="G9" s="738">
        <v>27500</v>
      </c>
      <c r="H9" s="738">
        <v>27500</v>
      </c>
    </row>
    <row r="10" spans="1:8" x14ac:dyDescent="0.3">
      <c r="A10" s="39" t="s">
        <v>138</v>
      </c>
      <c r="B10" s="49">
        <v>3500</v>
      </c>
      <c r="C10" s="49">
        <v>2000</v>
      </c>
      <c r="D10" s="49">
        <v>3000</v>
      </c>
      <c r="E10" s="49">
        <v>3000</v>
      </c>
      <c r="F10" s="738">
        <v>3500</v>
      </c>
      <c r="G10" s="738">
        <v>3500</v>
      </c>
      <c r="H10" s="738">
        <v>3500</v>
      </c>
    </row>
    <row r="11" spans="1:8" x14ac:dyDescent="0.3">
      <c r="A11" s="39" t="s">
        <v>96</v>
      </c>
      <c r="B11" s="36">
        <v>1000</v>
      </c>
      <c r="C11" s="36">
        <v>1200</v>
      </c>
      <c r="D11" s="36">
        <v>1700</v>
      </c>
      <c r="E11" s="36">
        <v>1700</v>
      </c>
      <c r="F11" s="743">
        <v>2500</v>
      </c>
      <c r="G11" s="743">
        <v>2500</v>
      </c>
      <c r="H11" s="743">
        <v>4000</v>
      </c>
    </row>
    <row r="12" spans="1:8" x14ac:dyDescent="0.3">
      <c r="A12" s="39" t="s">
        <v>531</v>
      </c>
      <c r="B12" s="36">
        <v>2500</v>
      </c>
      <c r="C12" s="49">
        <v>2000</v>
      </c>
      <c r="D12" s="49">
        <v>2000</v>
      </c>
      <c r="E12" s="49">
        <v>2000</v>
      </c>
      <c r="F12" s="738">
        <v>2000</v>
      </c>
      <c r="G12" s="738">
        <v>2500</v>
      </c>
      <c r="H12" s="738">
        <v>2500</v>
      </c>
    </row>
    <row r="13" spans="1:8" x14ac:dyDescent="0.3">
      <c r="A13" s="39" t="s">
        <v>193</v>
      </c>
      <c r="B13" s="49">
        <v>9000</v>
      </c>
      <c r="C13" s="49">
        <v>12000</v>
      </c>
      <c r="D13" s="49">
        <v>15000</v>
      </c>
      <c r="E13" s="49">
        <v>16000</v>
      </c>
      <c r="F13" s="738">
        <v>12000</v>
      </c>
      <c r="G13" s="738">
        <v>13000</v>
      </c>
      <c r="H13" s="738">
        <v>13000</v>
      </c>
    </row>
    <row r="14" spans="1:8" x14ac:dyDescent="0.3">
      <c r="A14" s="39" t="s">
        <v>192</v>
      </c>
      <c r="B14" s="36">
        <v>3000</v>
      </c>
      <c r="C14" s="49">
        <v>2500</v>
      </c>
      <c r="D14" s="49">
        <v>3000</v>
      </c>
      <c r="E14" s="49">
        <v>3000</v>
      </c>
      <c r="F14" s="738">
        <v>3000</v>
      </c>
      <c r="G14" s="738">
        <v>3000</v>
      </c>
      <c r="H14" s="738">
        <v>3000</v>
      </c>
    </row>
    <row r="15" spans="1:8" x14ac:dyDescent="0.3">
      <c r="A15" s="39" t="s">
        <v>604</v>
      </c>
      <c r="B15" s="36">
        <v>350</v>
      </c>
      <c r="C15" s="49">
        <v>250</v>
      </c>
      <c r="D15" s="49">
        <v>300</v>
      </c>
      <c r="E15" s="49">
        <v>300</v>
      </c>
      <c r="F15" s="738">
        <v>400</v>
      </c>
      <c r="G15" s="738">
        <v>400</v>
      </c>
      <c r="H15" s="738">
        <v>400</v>
      </c>
    </row>
    <row r="16" spans="1:8" x14ac:dyDescent="0.3">
      <c r="A16" s="464" t="s">
        <v>605</v>
      </c>
      <c r="B16" s="107"/>
      <c r="C16" s="451"/>
      <c r="D16" s="451"/>
      <c r="E16" s="451">
        <v>3000</v>
      </c>
      <c r="F16" s="744">
        <v>4800</v>
      </c>
      <c r="G16" s="744">
        <v>0</v>
      </c>
      <c r="H16" s="744">
        <v>0</v>
      </c>
    </row>
    <row r="17" spans="1:8" hidden="1" x14ac:dyDescent="0.3">
      <c r="A17" s="464" t="s">
        <v>532</v>
      </c>
      <c r="B17" s="107"/>
      <c r="C17" s="451"/>
      <c r="D17" s="451"/>
      <c r="E17" s="451">
        <v>2500</v>
      </c>
      <c r="F17" s="744">
        <v>0</v>
      </c>
      <c r="G17" s="744">
        <v>0</v>
      </c>
      <c r="H17" s="744">
        <v>0</v>
      </c>
    </row>
    <row r="18" spans="1:8" hidden="1" x14ac:dyDescent="0.3">
      <c r="A18" s="63" t="s">
        <v>533</v>
      </c>
      <c r="B18" s="107"/>
      <c r="C18" s="451"/>
      <c r="D18" s="451"/>
      <c r="E18" s="451">
        <v>2000</v>
      </c>
      <c r="F18" s="744">
        <v>0</v>
      </c>
      <c r="G18" s="744">
        <v>0</v>
      </c>
      <c r="H18" s="744">
        <v>0</v>
      </c>
    </row>
    <row r="19" spans="1:8" x14ac:dyDescent="0.3">
      <c r="A19" s="63" t="s">
        <v>593</v>
      </c>
      <c r="B19" s="107"/>
      <c r="C19" s="451">
        <v>3000</v>
      </c>
      <c r="D19" s="451">
        <v>3000</v>
      </c>
      <c r="E19" s="451">
        <v>3830</v>
      </c>
      <c r="F19" s="744">
        <v>4400</v>
      </c>
      <c r="G19" s="744">
        <v>4800</v>
      </c>
      <c r="H19" s="744">
        <v>5000</v>
      </c>
    </row>
    <row r="20" spans="1:8" x14ac:dyDescent="0.3">
      <c r="A20" s="63" t="s">
        <v>676</v>
      </c>
      <c r="B20" s="107"/>
      <c r="C20" s="451"/>
      <c r="D20" s="451"/>
      <c r="E20" s="451"/>
      <c r="F20" s="744">
        <v>0</v>
      </c>
      <c r="G20" s="745">
        <v>2000</v>
      </c>
      <c r="H20" s="745">
        <v>2000</v>
      </c>
    </row>
    <row r="21" spans="1:8" x14ac:dyDescent="0.3">
      <c r="A21" s="47" t="s">
        <v>677</v>
      </c>
      <c r="B21" s="50"/>
      <c r="C21" s="50"/>
      <c r="D21" s="50"/>
      <c r="E21" s="50"/>
      <c r="F21" s="733">
        <v>0</v>
      </c>
      <c r="G21" s="734">
        <v>2800</v>
      </c>
      <c r="H21" s="734">
        <v>0</v>
      </c>
    </row>
    <row r="22" spans="1:8" ht="17.25" thickBot="1" x14ac:dyDescent="0.35">
      <c r="A22" s="47"/>
      <c r="B22" s="50">
        <v>-15000</v>
      </c>
      <c r="C22" s="50"/>
      <c r="D22" s="50"/>
      <c r="E22" s="50"/>
      <c r="F22" s="733"/>
      <c r="G22" s="734"/>
      <c r="H22" s="734"/>
    </row>
    <row r="23" spans="1:8" ht="17.25" thickTop="1" x14ac:dyDescent="0.3">
      <c r="A23" s="207" t="s">
        <v>128</v>
      </c>
      <c r="B23" s="133">
        <f t="shared" ref="B23:H23" si="0">SUM(B4:B22)</f>
        <v>43150</v>
      </c>
      <c r="C23" s="133">
        <f t="shared" si="0"/>
        <v>63750</v>
      </c>
      <c r="D23" s="133">
        <f t="shared" si="0"/>
        <v>87050</v>
      </c>
      <c r="E23" s="133">
        <f t="shared" si="0"/>
        <v>96580</v>
      </c>
      <c r="F23" s="735">
        <f t="shared" si="0"/>
        <v>92100</v>
      </c>
      <c r="G23" s="736">
        <f t="shared" ref="G23" si="1">SUM(G4:G22)</f>
        <v>98200</v>
      </c>
      <c r="H23" s="736">
        <f t="shared" si="0"/>
        <v>97100</v>
      </c>
    </row>
  </sheetData>
  <sortState ref="A7:E16">
    <sortCondition ref="A7:A16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9"/>
  <sheetViews>
    <sheetView workbookViewId="0">
      <pane ySplit="2" topLeftCell="A3" activePane="bottomLeft" state="frozen"/>
      <selection pane="bottomLeft"/>
    </sheetView>
  </sheetViews>
  <sheetFormatPr defaultRowHeight="16.5" x14ac:dyDescent="0.3"/>
  <cols>
    <col min="1" max="1" width="41" style="111" bestFit="1" customWidth="1"/>
    <col min="2" max="4" width="11.7109375" style="111" hidden="1" customWidth="1"/>
    <col min="5" max="5" width="12.5703125" style="111" hidden="1" customWidth="1"/>
    <col min="6" max="8" width="12.5703125" style="111" customWidth="1"/>
    <col min="9" max="16384" width="9.140625" style="111"/>
  </cols>
  <sheetData>
    <row r="1" spans="1:8" ht="18" customHeight="1" x14ac:dyDescent="0.3">
      <c r="A1" s="578" t="s">
        <v>217</v>
      </c>
      <c r="B1" s="212"/>
      <c r="C1" s="212"/>
      <c r="D1" s="212"/>
      <c r="E1" s="212"/>
      <c r="F1" s="212"/>
      <c r="G1" s="212"/>
      <c r="H1" s="212"/>
    </row>
    <row r="2" spans="1:8" ht="18" customHeight="1" x14ac:dyDescent="0.3">
      <c r="A2" s="126" t="s">
        <v>130</v>
      </c>
      <c r="B2" s="99">
        <v>2010</v>
      </c>
      <c r="C2" s="99">
        <v>2013</v>
      </c>
      <c r="D2" s="99">
        <v>2014</v>
      </c>
      <c r="E2" s="99">
        <v>2015</v>
      </c>
      <c r="F2" s="99">
        <v>2016</v>
      </c>
      <c r="G2" s="99">
        <v>2017</v>
      </c>
      <c r="H2" s="99">
        <v>2018</v>
      </c>
    </row>
    <row r="3" spans="1:8" ht="18" customHeight="1" x14ac:dyDescent="0.3">
      <c r="A3" s="126"/>
      <c r="B3" s="100"/>
      <c r="C3" s="100"/>
      <c r="D3" s="100"/>
      <c r="E3" s="100"/>
      <c r="F3" s="739"/>
      <c r="G3" s="739"/>
      <c r="H3" s="739"/>
    </row>
    <row r="4" spans="1:8" ht="18" customHeight="1" x14ac:dyDescent="0.3">
      <c r="A4" s="52" t="s">
        <v>157</v>
      </c>
      <c r="B4" s="53">
        <v>400</v>
      </c>
      <c r="C4" s="53">
        <v>350</v>
      </c>
      <c r="D4" s="53">
        <v>400</v>
      </c>
      <c r="E4" s="53">
        <v>400</v>
      </c>
      <c r="F4" s="738">
        <v>400</v>
      </c>
      <c r="G4" s="738">
        <v>400</v>
      </c>
      <c r="H4" s="738">
        <v>400</v>
      </c>
    </row>
    <row r="5" spans="1:8" ht="18" customHeight="1" x14ac:dyDescent="0.3">
      <c r="A5" s="52" t="s">
        <v>202</v>
      </c>
      <c r="B5" s="53">
        <v>500</v>
      </c>
      <c r="C5" s="53">
        <v>250</v>
      </c>
      <c r="D5" s="53">
        <v>250</v>
      </c>
      <c r="E5" s="53">
        <v>250</v>
      </c>
      <c r="F5" s="738">
        <v>2000</v>
      </c>
      <c r="G5" s="738">
        <v>2000</v>
      </c>
      <c r="H5" s="738">
        <v>2000</v>
      </c>
    </row>
    <row r="6" spans="1:8" ht="18" customHeight="1" x14ac:dyDescent="0.3">
      <c r="A6" s="52" t="s">
        <v>3</v>
      </c>
      <c r="B6" s="53">
        <v>2500</v>
      </c>
      <c r="C6" s="53">
        <v>1400</v>
      </c>
      <c r="D6" s="53">
        <v>1400</v>
      </c>
      <c r="E6" s="53">
        <v>1500</v>
      </c>
      <c r="F6" s="738">
        <v>1500</v>
      </c>
      <c r="G6" s="738">
        <v>1700</v>
      </c>
      <c r="H6" s="738">
        <v>1700</v>
      </c>
    </row>
    <row r="7" spans="1:8" ht="18" customHeight="1" x14ac:dyDescent="0.3">
      <c r="A7" s="52" t="s">
        <v>2</v>
      </c>
      <c r="B7" s="121">
        <v>750</v>
      </c>
      <c r="C7" s="53">
        <v>850</v>
      </c>
      <c r="D7" s="53">
        <v>850</v>
      </c>
      <c r="E7" s="53">
        <v>850</v>
      </c>
      <c r="F7" s="738">
        <v>0</v>
      </c>
      <c r="G7" s="738">
        <v>0</v>
      </c>
      <c r="H7" s="738">
        <v>0</v>
      </c>
    </row>
    <row r="8" spans="1:8" ht="18" customHeight="1" x14ac:dyDescent="0.3">
      <c r="A8" s="39" t="s">
        <v>721</v>
      </c>
      <c r="B8" s="121">
        <v>600</v>
      </c>
      <c r="C8" s="61">
        <v>300</v>
      </c>
      <c r="D8" s="61">
        <v>300</v>
      </c>
      <c r="E8" s="61">
        <v>300</v>
      </c>
      <c r="F8" s="739">
        <v>400</v>
      </c>
      <c r="G8" s="739">
        <v>500</v>
      </c>
      <c r="H8" s="739">
        <v>1500</v>
      </c>
    </row>
    <row r="9" spans="1:8" ht="18" customHeight="1" x14ac:dyDescent="0.3">
      <c r="A9" s="52" t="s">
        <v>228</v>
      </c>
      <c r="B9" s="105">
        <v>6000</v>
      </c>
      <c r="C9" s="53">
        <v>7500</v>
      </c>
      <c r="D9" s="53">
        <v>7500</v>
      </c>
      <c r="E9" s="53">
        <v>7500</v>
      </c>
      <c r="F9" s="738">
        <v>11000</v>
      </c>
      <c r="G9" s="738">
        <v>12000</v>
      </c>
      <c r="H9" s="738">
        <v>12000</v>
      </c>
    </row>
    <row r="10" spans="1:8" ht="18" customHeight="1" x14ac:dyDescent="0.3">
      <c r="A10" s="448" t="s">
        <v>4</v>
      </c>
      <c r="B10" s="121">
        <v>1500</v>
      </c>
      <c r="C10" s="121">
        <v>200</v>
      </c>
      <c r="D10" s="121">
        <v>750</v>
      </c>
      <c r="E10" s="121">
        <v>750</v>
      </c>
      <c r="F10" s="743">
        <v>250</v>
      </c>
      <c r="G10" s="743">
        <v>500</v>
      </c>
      <c r="H10" s="743">
        <v>500</v>
      </c>
    </row>
    <row r="11" spans="1:8" ht="18" customHeight="1" x14ac:dyDescent="0.3">
      <c r="A11" s="39" t="s">
        <v>535</v>
      </c>
      <c r="B11" s="62">
        <v>1000</v>
      </c>
      <c r="C11" s="62"/>
      <c r="D11" s="62"/>
      <c r="E11" s="62">
        <f>10740</f>
        <v>10740</v>
      </c>
      <c r="F11" s="675">
        <v>0</v>
      </c>
      <c r="G11" s="675">
        <v>0</v>
      </c>
      <c r="H11" s="675">
        <v>0</v>
      </c>
    </row>
    <row r="12" spans="1:8" ht="18" customHeight="1" x14ac:dyDescent="0.3">
      <c r="A12" s="196" t="s">
        <v>534</v>
      </c>
      <c r="B12" s="53">
        <v>100</v>
      </c>
      <c r="C12" s="105">
        <v>100</v>
      </c>
      <c r="D12" s="105">
        <v>100</v>
      </c>
      <c r="E12" s="105">
        <v>100</v>
      </c>
      <c r="F12" s="731">
        <v>100</v>
      </c>
      <c r="G12" s="731">
        <v>0</v>
      </c>
      <c r="H12" s="731">
        <v>0</v>
      </c>
    </row>
    <row r="13" spans="1:8" ht="18" customHeight="1" x14ac:dyDescent="0.3">
      <c r="A13" s="196" t="s">
        <v>198</v>
      </c>
      <c r="B13" s="53">
        <v>250</v>
      </c>
      <c r="C13" s="53"/>
      <c r="D13" s="53">
        <v>300</v>
      </c>
      <c r="E13" s="53">
        <v>300</v>
      </c>
      <c r="F13" s="738">
        <v>300</v>
      </c>
      <c r="G13" s="738">
        <v>300</v>
      </c>
      <c r="H13" s="738">
        <v>300</v>
      </c>
    </row>
    <row r="14" spans="1:8" ht="18" customHeight="1" x14ac:dyDescent="0.3">
      <c r="A14" s="52" t="s">
        <v>286</v>
      </c>
      <c r="B14" s="121">
        <v>11000</v>
      </c>
      <c r="C14" s="62">
        <v>7500</v>
      </c>
      <c r="D14" s="62">
        <v>8000</v>
      </c>
      <c r="E14" s="62">
        <v>8000</v>
      </c>
      <c r="F14" s="675">
        <v>8000</v>
      </c>
      <c r="G14" s="675">
        <v>8000</v>
      </c>
      <c r="H14" s="675">
        <v>8000</v>
      </c>
    </row>
    <row r="15" spans="1:8" ht="18" customHeight="1" x14ac:dyDescent="0.3">
      <c r="A15" s="196" t="s">
        <v>226</v>
      </c>
      <c r="B15" s="53">
        <v>1500</v>
      </c>
      <c r="C15" s="53">
        <v>1000</v>
      </c>
      <c r="D15" s="53">
        <v>2000</v>
      </c>
      <c r="E15" s="53">
        <v>2000</v>
      </c>
      <c r="F15" s="738">
        <v>6000</v>
      </c>
      <c r="G15" s="738">
        <v>6000</v>
      </c>
      <c r="H15" s="738">
        <v>6000</v>
      </c>
    </row>
    <row r="16" spans="1:8" ht="18" customHeight="1" x14ac:dyDescent="0.3">
      <c r="A16" s="52" t="s">
        <v>287</v>
      </c>
      <c r="B16" s="53">
        <v>2000</v>
      </c>
      <c r="C16" s="121">
        <v>1500</v>
      </c>
      <c r="D16" s="121">
        <v>1500</v>
      </c>
      <c r="E16" s="121">
        <v>1500</v>
      </c>
      <c r="F16" s="743">
        <v>3800</v>
      </c>
      <c r="G16" s="743">
        <v>3500</v>
      </c>
      <c r="H16" s="743">
        <v>5500</v>
      </c>
    </row>
    <row r="17" spans="1:8" ht="18" customHeight="1" x14ac:dyDescent="0.3">
      <c r="A17" s="52" t="s">
        <v>227</v>
      </c>
      <c r="B17" s="53">
        <v>300</v>
      </c>
      <c r="C17" s="62">
        <v>300</v>
      </c>
      <c r="D17" s="62">
        <v>300</v>
      </c>
      <c r="E17" s="62">
        <v>300</v>
      </c>
      <c r="F17" s="675">
        <v>300</v>
      </c>
      <c r="G17" s="675">
        <v>300</v>
      </c>
      <c r="H17" s="675">
        <v>300</v>
      </c>
    </row>
    <row r="18" spans="1:8" ht="18" customHeight="1" x14ac:dyDescent="0.3">
      <c r="A18" s="54" t="s">
        <v>288</v>
      </c>
      <c r="B18" s="449">
        <v>750</v>
      </c>
      <c r="C18" s="450">
        <v>600</v>
      </c>
      <c r="D18" s="450">
        <v>600</v>
      </c>
      <c r="E18" s="450">
        <v>600</v>
      </c>
      <c r="F18" s="746">
        <v>1200</v>
      </c>
      <c r="G18" s="746">
        <v>1500</v>
      </c>
      <c r="H18" s="746">
        <v>1500</v>
      </c>
    </row>
    <row r="19" spans="1:8" ht="18" customHeight="1" x14ac:dyDescent="0.3">
      <c r="A19" s="54" t="s">
        <v>199</v>
      </c>
      <c r="B19" s="500">
        <v>1000</v>
      </c>
      <c r="C19" s="449">
        <v>1000</v>
      </c>
      <c r="D19" s="449">
        <v>1500</v>
      </c>
      <c r="E19" s="449">
        <v>3000</v>
      </c>
      <c r="F19" s="747">
        <v>2000</v>
      </c>
      <c r="G19" s="747">
        <v>3000</v>
      </c>
      <c r="H19" s="747">
        <v>3000</v>
      </c>
    </row>
    <row r="20" spans="1:8" ht="18" customHeight="1" x14ac:dyDescent="0.3">
      <c r="A20" s="110" t="s">
        <v>200</v>
      </c>
      <c r="B20" s="449">
        <v>250</v>
      </c>
      <c r="C20" s="500"/>
      <c r="D20" s="500">
        <v>750</v>
      </c>
      <c r="E20" s="500">
        <v>750</v>
      </c>
      <c r="F20" s="748">
        <v>500</v>
      </c>
      <c r="G20" s="748">
        <v>750</v>
      </c>
      <c r="H20" s="748">
        <v>2500</v>
      </c>
    </row>
    <row r="21" spans="1:8" ht="18" customHeight="1" x14ac:dyDescent="0.3">
      <c r="A21" s="54" t="s">
        <v>201</v>
      </c>
      <c r="B21" s="575"/>
      <c r="C21" s="449">
        <v>400</v>
      </c>
      <c r="D21" s="449">
        <v>400</v>
      </c>
      <c r="E21" s="449">
        <v>400</v>
      </c>
      <c r="F21" s="747">
        <v>200</v>
      </c>
      <c r="G21" s="747">
        <v>250</v>
      </c>
      <c r="H21" s="747">
        <v>250</v>
      </c>
    </row>
    <row r="22" spans="1:8" ht="18" customHeight="1" x14ac:dyDescent="0.3">
      <c r="A22" s="63" t="s">
        <v>471</v>
      </c>
      <c r="B22" s="450"/>
      <c r="C22" s="450">
        <v>25000</v>
      </c>
      <c r="D22" s="450"/>
      <c r="E22" s="450"/>
      <c r="F22" s="746">
        <v>27000</v>
      </c>
      <c r="G22" s="749">
        <v>0</v>
      </c>
      <c r="H22" s="749">
        <v>0</v>
      </c>
    </row>
    <row r="23" spans="1:8" ht="18" customHeight="1" x14ac:dyDescent="0.3">
      <c r="A23" s="576" t="s">
        <v>606</v>
      </c>
      <c r="C23" s="577"/>
      <c r="D23" s="577"/>
      <c r="E23" s="450">
        <v>9086</v>
      </c>
      <c r="F23" s="746">
        <v>4000</v>
      </c>
      <c r="G23" s="749">
        <v>0</v>
      </c>
      <c r="H23" s="749">
        <v>2000</v>
      </c>
    </row>
    <row r="24" spans="1:8" ht="18" customHeight="1" x14ac:dyDescent="0.3">
      <c r="A24" s="63" t="s">
        <v>722</v>
      </c>
      <c r="B24" s="451"/>
      <c r="C24" s="450"/>
      <c r="D24" s="450"/>
      <c r="E24" s="450">
        <v>5000</v>
      </c>
      <c r="F24" s="746">
        <v>0</v>
      </c>
      <c r="G24" s="749">
        <v>1500</v>
      </c>
      <c r="H24" s="749">
        <v>1500</v>
      </c>
    </row>
    <row r="25" spans="1:8" ht="18" customHeight="1" x14ac:dyDescent="0.3">
      <c r="A25" s="597" t="s">
        <v>607</v>
      </c>
      <c r="B25" s="596"/>
      <c r="C25" s="450"/>
      <c r="D25" s="450"/>
      <c r="E25" s="450"/>
      <c r="F25" s="746">
        <f>2*11500</f>
        <v>23000</v>
      </c>
      <c r="G25" s="749">
        <v>0</v>
      </c>
      <c r="H25" s="749">
        <v>0</v>
      </c>
    </row>
    <row r="26" spans="1:8" ht="18" customHeight="1" x14ac:dyDescent="0.3">
      <c r="A26" s="597" t="s">
        <v>608</v>
      </c>
      <c r="B26" s="596"/>
      <c r="C26" s="450"/>
      <c r="D26" s="450"/>
      <c r="E26" s="450"/>
      <c r="F26" s="746">
        <f>3*3500</f>
        <v>10500</v>
      </c>
      <c r="G26" s="749">
        <v>0</v>
      </c>
      <c r="H26" s="749">
        <v>0</v>
      </c>
    </row>
    <row r="27" spans="1:8" ht="18" customHeight="1" x14ac:dyDescent="0.3">
      <c r="A27" s="598" t="s">
        <v>678</v>
      </c>
      <c r="C27" s="54"/>
      <c r="D27" s="54"/>
      <c r="E27" s="54"/>
      <c r="F27" s="675">
        <v>0</v>
      </c>
      <c r="G27" s="676">
        <v>42000</v>
      </c>
      <c r="H27" s="676">
        <v>4000</v>
      </c>
    </row>
    <row r="28" spans="1:8" ht="18" customHeight="1" x14ac:dyDescent="0.3">
      <c r="A28" s="517"/>
      <c r="B28" s="451">
        <v>-20000</v>
      </c>
      <c r="C28" s="451"/>
      <c r="D28" s="451"/>
      <c r="E28" s="450"/>
      <c r="F28" s="746"/>
      <c r="G28" s="749"/>
      <c r="H28" s="749"/>
    </row>
    <row r="29" spans="1:8" ht="18" customHeight="1" x14ac:dyDescent="0.3">
      <c r="A29" s="452" t="s">
        <v>179</v>
      </c>
      <c r="B29" s="379">
        <f t="shared" ref="B29:H29" si="0">SUM(B3:B28)</f>
        <v>10400</v>
      </c>
      <c r="C29" s="379">
        <f t="shared" si="0"/>
        <v>48250</v>
      </c>
      <c r="D29" s="379">
        <f t="shared" si="0"/>
        <v>26900</v>
      </c>
      <c r="E29" s="379">
        <f t="shared" si="0"/>
        <v>53326</v>
      </c>
      <c r="F29" s="750">
        <f t="shared" si="0"/>
        <v>102450</v>
      </c>
      <c r="G29" s="751">
        <f t="shared" ref="G29" si="1">SUM(G3:G28)</f>
        <v>84200</v>
      </c>
      <c r="H29" s="751">
        <f t="shared" si="0"/>
        <v>52950</v>
      </c>
    </row>
    <row r="30" spans="1:8" ht="18" customHeight="1" x14ac:dyDescent="0.3">
      <c r="A30" s="27"/>
    </row>
    <row r="31" spans="1:8" ht="18" customHeight="1" x14ac:dyDescent="0.3"/>
    <row r="34" spans="1:1" x14ac:dyDescent="0.3">
      <c r="A34" s="214"/>
    </row>
    <row r="35" spans="1:1" x14ac:dyDescent="0.3">
      <c r="A35" s="214"/>
    </row>
    <row r="36" spans="1:1" x14ac:dyDescent="0.3">
      <c r="A36" s="214"/>
    </row>
    <row r="37" spans="1:1" x14ac:dyDescent="0.3">
      <c r="A37" s="214"/>
    </row>
    <row r="38" spans="1:1" x14ac:dyDescent="0.3">
      <c r="A38" s="215"/>
    </row>
    <row r="39" spans="1:1" x14ac:dyDescent="0.3">
      <c r="A39" s="214"/>
    </row>
  </sheetData>
  <sortState ref="A4:E23">
    <sortCondition ref="A4:A23"/>
  </sortState>
  <phoneticPr fontId="19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3"/>
  <sheetViews>
    <sheetView workbookViewId="0"/>
  </sheetViews>
  <sheetFormatPr defaultRowHeight="16.5" x14ac:dyDescent="0.3"/>
  <cols>
    <col min="1" max="1" width="34.5703125" style="111" customWidth="1"/>
    <col min="2" max="2" width="10.7109375" style="111" hidden="1" customWidth="1"/>
    <col min="3" max="3" width="11.5703125" style="111" hidden="1" customWidth="1"/>
    <col min="4" max="4" width="10.7109375" style="111" hidden="1" customWidth="1"/>
    <col min="5" max="5" width="11.5703125" style="111" hidden="1" customWidth="1"/>
    <col min="6" max="8" width="11.5703125" style="111" customWidth="1"/>
    <col min="9" max="16384" width="9.140625" style="111"/>
  </cols>
  <sheetData>
    <row r="1" spans="1:8" ht="24" customHeight="1" x14ac:dyDescent="0.3">
      <c r="A1" s="578" t="s">
        <v>539</v>
      </c>
      <c r="B1" s="190"/>
      <c r="C1" s="190"/>
      <c r="D1" s="190"/>
      <c r="E1" s="216"/>
      <c r="F1" s="216"/>
      <c r="G1" s="216"/>
      <c r="H1" s="216"/>
    </row>
    <row r="2" spans="1:8" ht="20.100000000000001" customHeight="1" x14ac:dyDescent="0.3">
      <c r="A2" s="195"/>
      <c r="B2" s="98"/>
      <c r="C2" s="98"/>
      <c r="D2" s="98"/>
      <c r="E2" s="54"/>
      <c r="F2" s="54"/>
      <c r="G2" s="54"/>
      <c r="H2" s="54"/>
    </row>
    <row r="3" spans="1:8" ht="20.100000000000001" customHeight="1" x14ac:dyDescent="0.3">
      <c r="A3" s="195"/>
      <c r="B3" s="41">
        <v>2010</v>
      </c>
      <c r="C3" s="109">
        <v>2013</v>
      </c>
      <c r="D3" s="109">
        <v>2014</v>
      </c>
      <c r="E3" s="109">
        <v>2015</v>
      </c>
      <c r="F3" s="109">
        <v>2016</v>
      </c>
      <c r="G3" s="109">
        <v>2017</v>
      </c>
      <c r="H3" s="109">
        <v>2018</v>
      </c>
    </row>
    <row r="4" spans="1:8" ht="20.100000000000001" customHeight="1" x14ac:dyDescent="0.3">
      <c r="A4" s="195"/>
      <c r="B4" s="101"/>
      <c r="C4" s="217"/>
      <c r="D4" s="217"/>
      <c r="E4" s="217"/>
      <c r="F4" s="752"/>
      <c r="G4" s="752"/>
      <c r="H4" s="752"/>
    </row>
    <row r="5" spans="1:8" ht="20.100000000000001" customHeight="1" x14ac:dyDescent="0.3">
      <c r="A5" s="52" t="s">
        <v>195</v>
      </c>
      <c r="B5" s="881">
        <v>16766</v>
      </c>
      <c r="C5" s="53">
        <v>19465</v>
      </c>
      <c r="D5" s="53">
        <v>19269</v>
      </c>
      <c r="E5" s="53">
        <v>18617.73</v>
      </c>
      <c r="F5" s="738">
        <v>19077</v>
      </c>
      <c r="G5" s="738">
        <v>15782</v>
      </c>
      <c r="H5" s="738">
        <f>'Uniform WS'!E48</f>
        <v>22313.5</v>
      </c>
    </row>
    <row r="6" spans="1:8" ht="20.100000000000001" customHeight="1" x14ac:dyDescent="0.3">
      <c r="A6" s="39" t="s">
        <v>196</v>
      </c>
      <c r="B6" s="881">
        <v>37450</v>
      </c>
      <c r="C6" s="42">
        <f>'Gear WS'!C24</f>
        <v>31900</v>
      </c>
      <c r="D6" s="42">
        <f>'Gear WS'!D24</f>
        <v>34917.75</v>
      </c>
      <c r="E6" s="42">
        <v>38575.300000000003</v>
      </c>
      <c r="F6" s="686">
        <f>'Gear WS'!F24</f>
        <v>48390</v>
      </c>
      <c r="G6" s="686">
        <f>'Gear WS'!G24</f>
        <v>109740</v>
      </c>
      <c r="H6" s="686">
        <f>'Gear WS'!H24</f>
        <v>59680</v>
      </c>
    </row>
    <row r="7" spans="1:8" ht="20.100000000000001" customHeight="1" x14ac:dyDescent="0.3">
      <c r="A7" s="244"/>
      <c r="B7" s="882"/>
      <c r="C7" s="882"/>
      <c r="D7" s="882"/>
      <c r="E7" s="882"/>
      <c r="F7" s="883"/>
      <c r="G7" s="883"/>
      <c r="H7" s="883"/>
    </row>
    <row r="8" spans="1:8" ht="20.100000000000001" customHeight="1" x14ac:dyDescent="0.3">
      <c r="A8" s="287"/>
      <c r="B8" s="42"/>
      <c r="C8" s="42"/>
      <c r="D8" s="42"/>
      <c r="E8" s="42"/>
      <c r="F8" s="686"/>
      <c r="G8" s="686"/>
      <c r="H8" s="686"/>
    </row>
    <row r="9" spans="1:8" ht="20.100000000000001" customHeight="1" x14ac:dyDescent="0.3">
      <c r="A9" s="287"/>
      <c r="B9" s="42"/>
      <c r="C9" s="42"/>
      <c r="D9" s="42"/>
      <c r="E9" s="42"/>
      <c r="F9" s="686"/>
      <c r="G9" s="686"/>
      <c r="H9" s="686"/>
    </row>
    <row r="10" spans="1:8" ht="20.100000000000001" customHeight="1" x14ac:dyDescent="0.3">
      <c r="A10" s="39"/>
      <c r="B10" s="42"/>
      <c r="C10" s="42"/>
      <c r="D10" s="42"/>
      <c r="E10" s="42"/>
      <c r="F10" s="686"/>
      <c r="G10" s="686"/>
      <c r="H10" s="686"/>
    </row>
    <row r="11" spans="1:8" ht="20.100000000000001" customHeight="1" thickBot="1" x14ac:dyDescent="0.35">
      <c r="A11" s="516"/>
      <c r="B11" s="465">
        <v>-24500</v>
      </c>
      <c r="C11" s="283"/>
      <c r="D11" s="283"/>
      <c r="E11" s="283"/>
      <c r="F11" s="778"/>
      <c r="G11" s="778"/>
      <c r="H11" s="778"/>
    </row>
    <row r="12" spans="1:8" ht="24" customHeight="1" thickTop="1" x14ac:dyDescent="0.3">
      <c r="A12" s="213" t="s">
        <v>180</v>
      </c>
      <c r="B12" s="44">
        <f t="shared" ref="B12:H12" si="0">SUM(B4:B11)</f>
        <v>29716</v>
      </c>
      <c r="C12" s="44">
        <f t="shared" si="0"/>
        <v>51365</v>
      </c>
      <c r="D12" s="44">
        <f t="shared" si="0"/>
        <v>54186.75</v>
      </c>
      <c r="E12" s="112">
        <f t="shared" si="0"/>
        <v>57193.03</v>
      </c>
      <c r="F12" s="766">
        <f t="shared" si="0"/>
        <v>67467</v>
      </c>
      <c r="G12" s="766">
        <f t="shared" ref="G12" si="1">SUM(G4:G11)</f>
        <v>125522</v>
      </c>
      <c r="H12" s="766">
        <f t="shared" si="0"/>
        <v>81993.5</v>
      </c>
    </row>
    <row r="13" spans="1:8" x14ac:dyDescent="0.3">
      <c r="B13" s="27"/>
      <c r="C13" s="27"/>
    </row>
    <row r="14" spans="1:8" x14ac:dyDescent="0.3">
      <c r="B14" s="27"/>
      <c r="C14" s="27"/>
    </row>
    <row r="15" spans="1:8" x14ac:dyDescent="0.3">
      <c r="B15" s="27"/>
      <c r="C15" s="27"/>
    </row>
    <row r="16" spans="1:8" x14ac:dyDescent="0.3">
      <c r="B16" s="27"/>
      <c r="C16" s="27"/>
    </row>
    <row r="17" spans="2:3" x14ac:dyDescent="0.3">
      <c r="B17" s="27"/>
      <c r="C17" s="27"/>
    </row>
    <row r="18" spans="2:3" x14ac:dyDescent="0.3">
      <c r="B18" s="27"/>
      <c r="C18" s="27"/>
    </row>
    <row r="19" spans="2:3" x14ac:dyDescent="0.3">
      <c r="B19" s="27"/>
      <c r="C19" s="27"/>
    </row>
    <row r="20" spans="2:3" x14ac:dyDescent="0.3">
      <c r="B20" s="27"/>
      <c r="C20" s="27"/>
    </row>
    <row r="21" spans="2:3" x14ac:dyDescent="0.3">
      <c r="B21" s="27"/>
      <c r="C21" s="27"/>
    </row>
    <row r="22" spans="2:3" x14ac:dyDescent="0.3">
      <c r="B22" s="27"/>
      <c r="C22" s="27"/>
    </row>
    <row r="23" spans="2:3" x14ac:dyDescent="0.3">
      <c r="B23" s="27"/>
      <c r="C23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0"/>
  <sheetViews>
    <sheetView workbookViewId="0">
      <selection sqref="A1:E1"/>
    </sheetView>
  </sheetViews>
  <sheetFormatPr defaultRowHeight="18.75" customHeight="1" x14ac:dyDescent="0.2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6" width="14.28515625" customWidth="1"/>
    <col min="7" max="7" width="14.140625" style="9" bestFit="1" customWidth="1"/>
    <col min="8" max="9" width="9.140625" style="5"/>
    <col min="10" max="10" width="13.28515625" style="5" customWidth="1"/>
    <col min="11" max="16384" width="9.140625" style="5"/>
  </cols>
  <sheetData>
    <row r="1" spans="1:7" ht="27.75" customHeight="1" x14ac:dyDescent="0.2">
      <c r="A1" s="992" t="s">
        <v>358</v>
      </c>
      <c r="B1" s="993"/>
      <c r="C1" s="993"/>
      <c r="D1" s="993"/>
      <c r="E1" s="994"/>
      <c r="G1" s="5"/>
    </row>
    <row r="2" spans="1:7" ht="15.75" x14ac:dyDescent="0.25">
      <c r="A2" s="300" t="s">
        <v>139</v>
      </c>
      <c r="B2" s="301"/>
      <c r="C2" s="301"/>
      <c r="D2" s="301"/>
      <c r="E2" s="302"/>
      <c r="G2" s="5"/>
    </row>
    <row r="3" spans="1:7" s="10" customFormat="1" ht="15.75" x14ac:dyDescent="0.25">
      <c r="A3" s="29" t="s">
        <v>140</v>
      </c>
      <c r="B3" s="303" t="s">
        <v>141</v>
      </c>
      <c r="C3" s="303" t="s">
        <v>142</v>
      </c>
      <c r="D3" s="303" t="s">
        <v>143</v>
      </c>
      <c r="E3" s="304" t="s">
        <v>144</v>
      </c>
      <c r="F3"/>
    </row>
    <row r="4" spans="1:7" ht="14.1" customHeight="1" x14ac:dyDescent="0.25">
      <c r="A4" s="264" t="s">
        <v>145</v>
      </c>
      <c r="B4" s="262">
        <v>27</v>
      </c>
      <c r="C4" s="262">
        <v>1</v>
      </c>
      <c r="D4" s="305">
        <f>((87.5+97.5)/2)+6</f>
        <v>98.5</v>
      </c>
      <c r="E4" s="317">
        <f>B4*C4*D4</f>
        <v>2659.5</v>
      </c>
      <c r="G4" s="5"/>
    </row>
    <row r="5" spans="1:7" ht="14.1" customHeight="1" x14ac:dyDescent="0.25">
      <c r="A5" s="264" t="s">
        <v>146</v>
      </c>
      <c r="B5" s="262">
        <v>27</v>
      </c>
      <c r="C5" s="262">
        <v>1</v>
      </c>
      <c r="D5" s="305">
        <f>104.5</f>
        <v>104.5</v>
      </c>
      <c r="E5" s="317">
        <f>B5*C5*D5</f>
        <v>2821.5</v>
      </c>
      <c r="G5" s="5"/>
    </row>
    <row r="6" spans="1:7" ht="14.1" customHeight="1" x14ac:dyDescent="0.25">
      <c r="A6" s="264" t="s">
        <v>669</v>
      </c>
      <c r="B6" s="262">
        <v>27</v>
      </c>
      <c r="C6" s="262">
        <v>4</v>
      </c>
      <c r="D6" s="305">
        <v>12</v>
      </c>
      <c r="E6" s="317">
        <f>B6*C6*D6</f>
        <v>1296</v>
      </c>
      <c r="G6" s="5"/>
    </row>
    <row r="7" spans="1:7" ht="14.1" customHeight="1" x14ac:dyDescent="0.25">
      <c r="A7" s="264" t="s">
        <v>147</v>
      </c>
      <c r="B7" s="262">
        <v>27</v>
      </c>
      <c r="C7" s="262">
        <v>2</v>
      </c>
      <c r="D7" s="305">
        <f>42+8+6</f>
        <v>56</v>
      </c>
      <c r="E7" s="317">
        <f>B7*C7*D7</f>
        <v>3024</v>
      </c>
      <c r="G7" s="5"/>
    </row>
    <row r="8" spans="1:7" ht="14.1" customHeight="1" x14ac:dyDescent="0.25">
      <c r="A8" s="264" t="s">
        <v>161</v>
      </c>
      <c r="B8" s="262">
        <v>27</v>
      </c>
      <c r="C8" s="262">
        <v>1</v>
      </c>
      <c r="D8" s="305">
        <f>64.5</f>
        <v>64.5</v>
      </c>
      <c r="E8" s="317">
        <f>B8*C8*D8</f>
        <v>1741.5</v>
      </c>
      <c r="G8" s="5"/>
    </row>
    <row r="9" spans="1:7" ht="14.1" customHeight="1" x14ac:dyDescent="0.25">
      <c r="A9" s="306"/>
      <c r="B9" s="262"/>
      <c r="C9" s="262"/>
      <c r="D9" s="263"/>
      <c r="E9" s="318">
        <f>SUM(E4:E8)</f>
        <v>11542.5</v>
      </c>
      <c r="G9" s="5"/>
    </row>
    <row r="10" spans="1:7" ht="14.1" customHeight="1" x14ac:dyDescent="0.25">
      <c r="A10" s="306" t="s">
        <v>148</v>
      </c>
      <c r="B10" s="262"/>
      <c r="C10" s="262"/>
      <c r="D10" s="262"/>
      <c r="E10" s="319"/>
      <c r="G10" s="5"/>
    </row>
    <row r="11" spans="1:7" s="7" customFormat="1" ht="14.1" customHeight="1" x14ac:dyDescent="0.25">
      <c r="A11" s="29" t="s">
        <v>140</v>
      </c>
      <c r="B11" s="303" t="s">
        <v>141</v>
      </c>
      <c r="C11" s="303" t="s">
        <v>142</v>
      </c>
      <c r="D11" s="303" t="s">
        <v>143</v>
      </c>
      <c r="E11" s="304" t="s">
        <v>144</v>
      </c>
      <c r="F11"/>
    </row>
    <row r="12" spans="1:7" ht="14.1" customHeight="1" x14ac:dyDescent="0.25">
      <c r="A12" s="264" t="s">
        <v>145</v>
      </c>
      <c r="B12" s="262">
        <v>2</v>
      </c>
      <c r="C12" s="262">
        <v>1</v>
      </c>
      <c r="D12" s="305">
        <f>87.5+6</f>
        <v>93.5</v>
      </c>
      <c r="E12" s="317">
        <f>B12*C12*D12</f>
        <v>187</v>
      </c>
      <c r="G12" s="5"/>
    </row>
    <row r="13" spans="1:7" ht="14.1" customHeight="1" x14ac:dyDescent="0.25">
      <c r="A13" s="264" t="s">
        <v>669</v>
      </c>
      <c r="B13" s="262">
        <v>2</v>
      </c>
      <c r="C13" s="262">
        <v>1</v>
      </c>
      <c r="D13" s="305">
        <f>D6</f>
        <v>12</v>
      </c>
      <c r="E13" s="317">
        <f>B13*C13*D13</f>
        <v>24</v>
      </c>
      <c r="G13" s="5"/>
    </row>
    <row r="14" spans="1:7" ht="14.1" customHeight="1" x14ac:dyDescent="0.25">
      <c r="A14" s="264" t="s">
        <v>147</v>
      </c>
      <c r="B14" s="262">
        <v>2</v>
      </c>
      <c r="C14" s="262">
        <v>1</v>
      </c>
      <c r="D14" s="305">
        <f>D7</f>
        <v>56</v>
      </c>
      <c r="E14" s="317">
        <f>B14*C14*D14</f>
        <v>112</v>
      </c>
      <c r="G14" s="5"/>
    </row>
    <row r="15" spans="1:7" ht="14.1" customHeight="1" x14ac:dyDescent="0.25">
      <c r="A15" s="264" t="s">
        <v>161</v>
      </c>
      <c r="B15" s="262">
        <v>2</v>
      </c>
      <c r="C15" s="262">
        <v>1</v>
      </c>
      <c r="D15" s="305">
        <f>D8</f>
        <v>64.5</v>
      </c>
      <c r="E15" s="317">
        <f>B15*C15*D15</f>
        <v>129</v>
      </c>
      <c r="G15" s="5"/>
    </row>
    <row r="16" spans="1:7" ht="14.1" customHeight="1" x14ac:dyDescent="0.25">
      <c r="A16" s="264"/>
      <c r="B16" s="262"/>
      <c r="C16" s="262"/>
      <c r="D16" s="263"/>
      <c r="E16" s="320">
        <f>SUM(E12:E15)</f>
        <v>452</v>
      </c>
      <c r="G16" s="5"/>
    </row>
    <row r="17" spans="1:7" ht="14.1" customHeight="1" x14ac:dyDescent="0.25">
      <c r="A17" s="306" t="s">
        <v>723</v>
      </c>
      <c r="B17" s="262"/>
      <c r="C17" s="262"/>
      <c r="D17" s="262"/>
      <c r="E17" s="265"/>
      <c r="G17" s="5"/>
    </row>
    <row r="18" spans="1:7" s="7" customFormat="1" ht="14.1" customHeight="1" x14ac:dyDescent="0.25">
      <c r="A18" s="29" t="s">
        <v>140</v>
      </c>
      <c r="B18" s="303" t="s">
        <v>141</v>
      </c>
      <c r="C18" s="303" t="s">
        <v>142</v>
      </c>
      <c r="D18" s="303" t="s">
        <v>143</v>
      </c>
      <c r="E18" s="304" t="s">
        <v>144</v>
      </c>
      <c r="F18"/>
    </row>
    <row r="19" spans="1:7" ht="14.1" customHeight="1" x14ac:dyDescent="0.25">
      <c r="A19" s="264" t="s">
        <v>145</v>
      </c>
      <c r="B19" s="583">
        <v>4</v>
      </c>
      <c r="C19" s="262">
        <v>3</v>
      </c>
      <c r="D19" s="305">
        <f>D4</f>
        <v>98.5</v>
      </c>
      <c r="E19" s="317">
        <f>B19*C19*D19</f>
        <v>1182</v>
      </c>
      <c r="G19" s="5"/>
    </row>
    <row r="20" spans="1:7" ht="14.1" customHeight="1" x14ac:dyDescent="0.25">
      <c r="A20" s="264" t="s">
        <v>146</v>
      </c>
      <c r="B20" s="583">
        <v>4</v>
      </c>
      <c r="C20" s="262">
        <v>3</v>
      </c>
      <c r="D20" s="305">
        <f>D5</f>
        <v>104.5</v>
      </c>
      <c r="E20" s="317">
        <f>B20*C20*D20</f>
        <v>1254</v>
      </c>
      <c r="G20" s="5"/>
    </row>
    <row r="21" spans="1:7" ht="14.1" customHeight="1" x14ac:dyDescent="0.25">
      <c r="A21" s="264" t="s">
        <v>147</v>
      </c>
      <c r="B21" s="583">
        <v>4</v>
      </c>
      <c r="C21" s="262">
        <v>2</v>
      </c>
      <c r="D21" s="305">
        <f>D7</f>
        <v>56</v>
      </c>
      <c r="E21" s="317">
        <f>B21*C21*D21</f>
        <v>448</v>
      </c>
      <c r="G21" s="5"/>
    </row>
    <row r="22" spans="1:7" ht="14.1" customHeight="1" x14ac:dyDescent="0.25">
      <c r="A22" s="264" t="s">
        <v>669</v>
      </c>
      <c r="B22" s="583">
        <v>4</v>
      </c>
      <c r="C22" s="262">
        <v>6</v>
      </c>
      <c r="D22" s="305">
        <v>12</v>
      </c>
      <c r="E22" s="317">
        <f>B22*C22*D22</f>
        <v>288</v>
      </c>
      <c r="G22" s="5"/>
    </row>
    <row r="23" spans="1:7" ht="14.1" customHeight="1" x14ac:dyDescent="0.25">
      <c r="A23" s="264" t="s">
        <v>161</v>
      </c>
      <c r="B23" s="583">
        <v>4</v>
      </c>
      <c r="C23" s="262">
        <v>2</v>
      </c>
      <c r="D23" s="263">
        <f>D8</f>
        <v>64.5</v>
      </c>
      <c r="E23" s="317">
        <f>B23*C23*D23</f>
        <v>516</v>
      </c>
      <c r="G23" s="5"/>
    </row>
    <row r="24" spans="1:7" ht="14.1" customHeight="1" x14ac:dyDescent="0.25">
      <c r="A24" s="306"/>
      <c r="B24" s="262"/>
      <c r="C24" s="262"/>
      <c r="D24" s="263"/>
      <c r="E24" s="320">
        <f>SUM(E19:E23)</f>
        <v>3688</v>
      </c>
      <c r="G24" s="5"/>
    </row>
    <row r="25" spans="1:7" ht="14.1" customHeight="1" x14ac:dyDescent="0.25">
      <c r="A25" s="306" t="s">
        <v>149</v>
      </c>
      <c r="B25" s="262"/>
      <c r="C25" s="262"/>
      <c r="D25" s="262"/>
      <c r="E25" s="265"/>
      <c r="G25" s="5"/>
    </row>
    <row r="26" spans="1:7" s="7" customFormat="1" ht="14.1" customHeight="1" x14ac:dyDescent="0.25">
      <c r="A26" s="67" t="s">
        <v>140</v>
      </c>
      <c r="B26" s="303" t="s">
        <v>141</v>
      </c>
      <c r="C26" s="303" t="s">
        <v>142</v>
      </c>
      <c r="D26" s="303" t="s">
        <v>143</v>
      </c>
      <c r="E26" s="304" t="s">
        <v>144</v>
      </c>
      <c r="F26"/>
    </row>
    <row r="27" spans="1:7" ht="14.1" customHeight="1" x14ac:dyDescent="0.25">
      <c r="A27" s="264" t="s">
        <v>147</v>
      </c>
      <c r="B27" s="262">
        <v>2</v>
      </c>
      <c r="C27" s="262">
        <v>1</v>
      </c>
      <c r="D27" s="305">
        <f>D7</f>
        <v>56</v>
      </c>
      <c r="E27" s="317">
        <f>B27*C27*D27</f>
        <v>112</v>
      </c>
      <c r="G27" s="5"/>
    </row>
    <row r="28" spans="1:7" ht="14.1" customHeight="1" x14ac:dyDescent="0.25">
      <c r="A28" s="306"/>
      <c r="B28" s="262"/>
      <c r="C28" s="262"/>
      <c r="D28" s="263"/>
      <c r="E28" s="321">
        <f>SUM(E27)</f>
        <v>112</v>
      </c>
      <c r="G28" s="5"/>
    </row>
    <row r="29" spans="1:7" ht="14.1" customHeight="1" x14ac:dyDescent="0.25">
      <c r="A29" s="306" t="s">
        <v>150</v>
      </c>
      <c r="B29" s="262"/>
      <c r="C29" s="262"/>
      <c r="D29" s="262"/>
      <c r="E29" s="265"/>
      <c r="G29" s="5"/>
    </row>
    <row r="30" spans="1:7" s="7" customFormat="1" ht="14.1" customHeight="1" x14ac:dyDescent="0.25">
      <c r="A30" s="29" t="s">
        <v>140</v>
      </c>
      <c r="B30" s="303" t="s">
        <v>141</v>
      </c>
      <c r="C30" s="303" t="s">
        <v>142</v>
      </c>
      <c r="D30" s="303" t="s">
        <v>143</v>
      </c>
      <c r="E30" s="304" t="s">
        <v>144</v>
      </c>
      <c r="F30"/>
    </row>
    <row r="31" spans="1:7" ht="14.1" customHeight="1" x14ac:dyDescent="0.25">
      <c r="A31" s="264" t="s">
        <v>162</v>
      </c>
      <c r="B31" s="262">
        <v>2</v>
      </c>
      <c r="C31" s="262">
        <v>1</v>
      </c>
      <c r="D31" s="305">
        <f>D4</f>
        <v>98.5</v>
      </c>
      <c r="E31" s="317">
        <f>B31*C31*D31</f>
        <v>197</v>
      </c>
      <c r="G31" s="5"/>
    </row>
    <row r="32" spans="1:7" ht="14.1" customHeight="1" x14ac:dyDescent="0.25">
      <c r="A32" s="264" t="s">
        <v>161</v>
      </c>
      <c r="B32" s="262">
        <v>2</v>
      </c>
      <c r="C32" s="262">
        <v>1</v>
      </c>
      <c r="D32" s="305">
        <v>64.5</v>
      </c>
      <c r="E32" s="317">
        <f>B32*C32*D32</f>
        <v>129</v>
      </c>
      <c r="G32" s="5"/>
    </row>
    <row r="33" spans="1:7" ht="14.1" customHeight="1" x14ac:dyDescent="0.25">
      <c r="A33" s="264" t="s">
        <v>670</v>
      </c>
      <c r="B33" s="262">
        <v>2</v>
      </c>
      <c r="C33" s="262">
        <v>2</v>
      </c>
      <c r="D33" s="305">
        <f>D6</f>
        <v>12</v>
      </c>
      <c r="E33" s="317">
        <f>B33*C33*D33</f>
        <v>48</v>
      </c>
      <c r="G33" s="5"/>
    </row>
    <row r="34" spans="1:7" ht="18" customHeight="1" x14ac:dyDescent="0.25">
      <c r="A34" s="306"/>
      <c r="B34" s="262"/>
      <c r="C34" s="262"/>
      <c r="D34" s="305"/>
      <c r="E34" s="322">
        <f>SUM(E31:E33)</f>
        <v>374</v>
      </c>
      <c r="G34" s="5"/>
    </row>
    <row r="35" spans="1:7" ht="14.1" customHeight="1" x14ac:dyDescent="0.25">
      <c r="A35" s="306" t="s">
        <v>163</v>
      </c>
      <c r="B35" s="262"/>
      <c r="C35" s="262"/>
      <c r="D35" s="307"/>
      <c r="E35" s="323"/>
      <c r="G35" s="5"/>
    </row>
    <row r="36" spans="1:7" ht="14.1" customHeight="1" x14ac:dyDescent="0.25">
      <c r="A36" s="29" t="s">
        <v>140</v>
      </c>
      <c r="B36" s="303"/>
      <c r="C36" s="303" t="s">
        <v>142</v>
      </c>
      <c r="D36" s="303" t="s">
        <v>143</v>
      </c>
      <c r="E36" s="304" t="s">
        <v>144</v>
      </c>
      <c r="G36" s="5"/>
    </row>
    <row r="37" spans="1:7" ht="14.1" customHeight="1" x14ac:dyDescent="0.25">
      <c r="A37" s="264" t="s">
        <v>152</v>
      </c>
      <c r="B37" s="262"/>
      <c r="C37" s="262">
        <v>10</v>
      </c>
      <c r="D37" s="305">
        <v>120</v>
      </c>
      <c r="E37" s="513">
        <f>C37*D37</f>
        <v>1200</v>
      </c>
      <c r="F37" s="249"/>
      <c r="G37" s="5"/>
    </row>
    <row r="38" spans="1:7" ht="14.1" customHeight="1" x14ac:dyDescent="0.25">
      <c r="A38" s="264" t="s">
        <v>12</v>
      </c>
      <c r="B38" s="262"/>
      <c r="C38" s="262">
        <v>500</v>
      </c>
      <c r="D38" s="305"/>
      <c r="E38" s="513">
        <f t="shared" ref="E38:E45" si="0">C38*D38</f>
        <v>0</v>
      </c>
      <c r="G38" s="5"/>
    </row>
    <row r="39" spans="1:7" ht="14.1" customHeight="1" x14ac:dyDescent="0.25">
      <c r="A39" s="264" t="s">
        <v>167</v>
      </c>
      <c r="B39" s="262"/>
      <c r="C39" s="262">
        <v>8</v>
      </c>
      <c r="D39" s="305">
        <f>12.2</f>
        <v>12.2</v>
      </c>
      <c r="E39" s="513">
        <f t="shared" si="0"/>
        <v>97.6</v>
      </c>
      <c r="G39" s="5"/>
    </row>
    <row r="40" spans="1:7" ht="14.1" customHeight="1" x14ac:dyDescent="0.25">
      <c r="A40" s="308" t="s">
        <v>164</v>
      </c>
      <c r="B40" s="309"/>
      <c r="C40" s="309">
        <v>4</v>
      </c>
      <c r="D40" s="310">
        <f>6.95</f>
        <v>6.95</v>
      </c>
      <c r="E40" s="513">
        <f t="shared" si="0"/>
        <v>27.8</v>
      </c>
      <c r="G40" s="5"/>
    </row>
    <row r="41" spans="1:7" ht="14.1" customHeight="1" x14ac:dyDescent="0.25">
      <c r="A41" s="308" t="s">
        <v>165</v>
      </c>
      <c r="B41" s="309"/>
      <c r="C41" s="309">
        <v>8</v>
      </c>
      <c r="D41" s="310">
        <f>21.2</f>
        <v>21.2</v>
      </c>
      <c r="E41" s="513">
        <f t="shared" si="0"/>
        <v>169.6</v>
      </c>
      <c r="G41" s="5"/>
    </row>
    <row r="42" spans="1:7" ht="14.1" customHeight="1" x14ac:dyDescent="0.25">
      <c r="A42" s="308" t="s">
        <v>151</v>
      </c>
      <c r="B42" s="309"/>
      <c r="C42" s="309">
        <v>10</v>
      </c>
      <c r="D42" s="310">
        <f>295+18+10+10</f>
        <v>333</v>
      </c>
      <c r="E42" s="513">
        <f t="shared" si="0"/>
        <v>3330</v>
      </c>
      <c r="G42" s="5"/>
    </row>
    <row r="43" spans="1:7" ht="14.1" customHeight="1" x14ac:dyDescent="0.25">
      <c r="A43" s="308" t="s">
        <v>166</v>
      </c>
      <c r="B43" s="309"/>
      <c r="C43" s="309">
        <v>8</v>
      </c>
      <c r="D43" s="310"/>
      <c r="E43" s="513">
        <f t="shared" si="0"/>
        <v>0</v>
      </c>
      <c r="G43" s="5"/>
    </row>
    <row r="44" spans="1:7" ht="13.5" customHeight="1" x14ac:dyDescent="0.25">
      <c r="A44" s="264" t="s">
        <v>13</v>
      </c>
      <c r="B44" s="262"/>
      <c r="C44" s="262">
        <v>30</v>
      </c>
      <c r="D44" s="263">
        <v>14</v>
      </c>
      <c r="E44" s="513">
        <f t="shared" si="0"/>
        <v>420</v>
      </c>
      <c r="G44" s="5"/>
    </row>
    <row r="45" spans="1:7" ht="13.5" customHeight="1" x14ac:dyDescent="0.25">
      <c r="A45" s="264" t="s">
        <v>427</v>
      </c>
      <c r="B45" s="262"/>
      <c r="C45" s="262">
        <v>30</v>
      </c>
      <c r="D45" s="263">
        <v>30</v>
      </c>
      <c r="E45" s="513">
        <f t="shared" si="0"/>
        <v>900</v>
      </c>
      <c r="G45" s="5"/>
    </row>
    <row r="46" spans="1:7" ht="13.5" customHeight="1" x14ac:dyDescent="0.25">
      <c r="A46" s="311"/>
      <c r="B46" s="312"/>
      <c r="C46" s="312"/>
      <c r="D46" s="313"/>
      <c r="E46" s="324">
        <f>SUM(E37:E45)</f>
        <v>6145</v>
      </c>
      <c r="G46" s="5"/>
    </row>
    <row r="47" spans="1:7" ht="13.5" customHeight="1" x14ac:dyDescent="0.25">
      <c r="A47" s="311"/>
      <c r="B47" s="312"/>
      <c r="C47" s="312"/>
      <c r="D47" s="313"/>
      <c r="E47" s="324"/>
      <c r="G47" s="5"/>
    </row>
    <row r="48" spans="1:7" ht="30" customHeight="1" x14ac:dyDescent="0.25">
      <c r="A48" s="314" t="s">
        <v>119</v>
      </c>
      <c r="B48" s="315"/>
      <c r="C48" s="315"/>
      <c r="D48" s="266"/>
      <c r="E48" s="316">
        <f>E9+E16+E24+E28+E34+E46+E47</f>
        <v>22313.5</v>
      </c>
      <c r="G48" s="5"/>
    </row>
    <row r="49" spans="1:7" ht="18.75" customHeight="1" x14ac:dyDescent="0.2">
      <c r="A49" s="12"/>
      <c r="B49" s="12"/>
      <c r="C49" s="12"/>
      <c r="D49" s="12"/>
      <c r="E49" s="12"/>
      <c r="G49" s="5"/>
    </row>
    <row r="50" spans="1:7" ht="18.75" customHeight="1" x14ac:dyDescent="0.2">
      <c r="A50" s="12"/>
      <c r="B50" s="12"/>
      <c r="C50" s="12"/>
      <c r="D50" s="12"/>
      <c r="E50" s="12"/>
      <c r="G50" s="5"/>
    </row>
    <row r="51" spans="1:7" ht="18.75" customHeight="1" x14ac:dyDescent="0.2">
      <c r="A51" s="12"/>
      <c r="B51" s="12"/>
      <c r="C51" s="12"/>
      <c r="D51" s="12"/>
      <c r="E51" s="12"/>
      <c r="G51" s="5"/>
    </row>
    <row r="52" spans="1:7" ht="18.75" customHeight="1" x14ac:dyDescent="0.2">
      <c r="A52" s="12"/>
      <c r="B52" s="12"/>
      <c r="C52" s="12"/>
      <c r="D52" s="12"/>
      <c r="E52" s="12"/>
      <c r="G52" s="5"/>
    </row>
    <row r="53" spans="1:7" ht="18.75" customHeight="1" x14ac:dyDescent="0.2">
      <c r="A53" s="12"/>
      <c r="B53" s="12"/>
      <c r="C53" s="12"/>
      <c r="D53" s="12"/>
      <c r="E53" s="12"/>
      <c r="G53" s="5"/>
    </row>
    <row r="54" spans="1:7" ht="18.75" customHeight="1" x14ac:dyDescent="0.2">
      <c r="A54" s="12"/>
      <c r="B54" s="12"/>
      <c r="C54" s="12"/>
      <c r="D54" s="12"/>
      <c r="E54" s="12"/>
      <c r="G54" s="5"/>
    </row>
    <row r="55" spans="1:7" ht="18.75" customHeight="1" x14ac:dyDescent="0.2">
      <c r="A55" s="12"/>
      <c r="B55" s="12"/>
      <c r="C55" s="12"/>
      <c r="D55" s="12"/>
      <c r="E55" s="12"/>
      <c r="G55" s="5"/>
    </row>
    <row r="56" spans="1:7" ht="18.75" customHeight="1" x14ac:dyDescent="0.2">
      <c r="A56" s="12"/>
      <c r="B56" s="12"/>
      <c r="C56" s="12"/>
      <c r="D56" s="12"/>
      <c r="E56" s="12"/>
      <c r="G56" s="5"/>
    </row>
    <row r="57" spans="1:7" ht="18.75" customHeight="1" x14ac:dyDescent="0.2">
      <c r="A57" s="12"/>
      <c r="B57" s="12"/>
      <c r="C57" s="12"/>
      <c r="D57" s="12"/>
      <c r="E57" s="12"/>
      <c r="G57" s="5"/>
    </row>
    <row r="58" spans="1:7" ht="18.75" customHeight="1" x14ac:dyDescent="0.2">
      <c r="A58" s="12"/>
      <c r="B58" s="12"/>
      <c r="C58" s="12"/>
      <c r="D58" s="12"/>
      <c r="E58" s="12"/>
      <c r="G58" s="5"/>
    </row>
    <row r="59" spans="1:7" ht="18.75" customHeight="1" x14ac:dyDescent="0.2">
      <c r="A59" s="12"/>
      <c r="B59" s="12"/>
      <c r="C59" s="12"/>
      <c r="D59" s="12"/>
      <c r="E59" s="12"/>
      <c r="G59" s="5"/>
    </row>
    <row r="60" spans="1:7" ht="18.75" customHeight="1" x14ac:dyDescent="0.2">
      <c r="A60" s="12"/>
      <c r="B60" s="12"/>
      <c r="C60" s="12"/>
      <c r="D60" s="12"/>
      <c r="E60" s="12"/>
      <c r="G60" s="12"/>
    </row>
    <row r="61" spans="1:7" ht="18.75" customHeight="1" x14ac:dyDescent="0.2">
      <c r="A61" s="12"/>
      <c r="B61" s="12"/>
      <c r="C61" s="12"/>
      <c r="D61" s="12"/>
      <c r="E61" s="12"/>
      <c r="G61" s="12"/>
    </row>
    <row r="62" spans="1:7" ht="18.75" customHeight="1" x14ac:dyDescent="0.2">
      <c r="A62" s="12"/>
      <c r="B62" s="12"/>
      <c r="C62" s="12"/>
      <c r="D62" s="12"/>
      <c r="E62" s="12"/>
      <c r="G62" s="12"/>
    </row>
    <row r="63" spans="1:7" ht="18.75" customHeight="1" x14ac:dyDescent="0.2">
      <c r="A63" s="12"/>
      <c r="B63" s="12"/>
      <c r="C63" s="12"/>
      <c r="D63" s="12"/>
      <c r="E63" s="12"/>
      <c r="G63" s="12"/>
    </row>
    <row r="64" spans="1:7" ht="18.75" customHeight="1" x14ac:dyDescent="0.2">
      <c r="A64" s="12"/>
      <c r="B64" s="12"/>
      <c r="C64" s="12"/>
      <c r="D64" s="12"/>
      <c r="E64" s="12"/>
      <c r="G64" s="12"/>
    </row>
    <row r="65" spans="1:7" ht="18.75" customHeight="1" x14ac:dyDescent="0.2">
      <c r="A65" s="12"/>
      <c r="B65" s="12"/>
      <c r="C65" s="12"/>
      <c r="D65" s="12"/>
      <c r="E65" s="12"/>
      <c r="G65" s="12"/>
    </row>
    <row r="66" spans="1:7" ht="18.75" customHeight="1" x14ac:dyDescent="0.2">
      <c r="A66" s="12"/>
      <c r="B66" s="12"/>
      <c r="C66" s="12"/>
      <c r="D66" s="12"/>
      <c r="E66" s="12"/>
      <c r="G66" s="12"/>
    </row>
    <row r="67" spans="1:7" ht="18.75" customHeight="1" x14ac:dyDescent="0.2">
      <c r="A67" s="12"/>
      <c r="B67" s="12"/>
      <c r="C67" s="12"/>
      <c r="D67" s="12"/>
      <c r="E67" s="12"/>
      <c r="G67" s="12"/>
    </row>
    <row r="68" spans="1:7" ht="18.75" customHeight="1" x14ac:dyDescent="0.2">
      <c r="A68" s="12"/>
      <c r="B68" s="12"/>
      <c r="C68" s="12"/>
      <c r="D68" s="12"/>
      <c r="E68" s="12"/>
      <c r="G68" s="12"/>
    </row>
    <row r="69" spans="1:7" ht="18.75" customHeight="1" x14ac:dyDescent="0.2">
      <c r="A69" s="12"/>
      <c r="B69" s="12"/>
      <c r="C69" s="12"/>
      <c r="D69" s="12"/>
      <c r="E69" s="12"/>
      <c r="G69" s="12"/>
    </row>
    <row r="70" spans="1:7" ht="18.75" customHeight="1" x14ac:dyDescent="0.2">
      <c r="A70" s="12"/>
      <c r="B70" s="12"/>
      <c r="C70" s="12"/>
      <c r="D70" s="12"/>
      <c r="E70" s="12"/>
      <c r="G70" s="12"/>
    </row>
    <row r="71" spans="1:7" ht="18.75" customHeight="1" x14ac:dyDescent="0.2">
      <c r="A71" s="12"/>
      <c r="B71" s="12"/>
      <c r="C71" s="12"/>
      <c r="D71" s="12"/>
      <c r="E71" s="12"/>
      <c r="G71" s="12"/>
    </row>
    <row r="72" spans="1:7" ht="18.75" customHeight="1" x14ac:dyDescent="0.2">
      <c r="A72" s="12"/>
      <c r="B72" s="12"/>
      <c r="C72" s="12"/>
      <c r="D72" s="12"/>
      <c r="E72" s="12"/>
      <c r="G72" s="12"/>
    </row>
    <row r="73" spans="1:7" ht="18.75" customHeight="1" x14ac:dyDescent="0.2">
      <c r="A73" s="12"/>
      <c r="B73" s="12"/>
      <c r="C73" s="12"/>
      <c r="D73" s="12"/>
      <c r="E73" s="12"/>
      <c r="G73" s="12"/>
    </row>
    <row r="74" spans="1:7" ht="18.75" customHeight="1" x14ac:dyDescent="0.2">
      <c r="A74" s="12"/>
      <c r="B74" s="12"/>
      <c r="C74" s="12"/>
      <c r="D74" s="12"/>
      <c r="E74" s="12"/>
      <c r="G74" s="12"/>
    </row>
    <row r="75" spans="1:7" ht="18.75" customHeight="1" x14ac:dyDescent="0.2">
      <c r="A75" s="12"/>
      <c r="B75" s="12"/>
      <c r="C75" s="12"/>
      <c r="D75" s="12"/>
      <c r="E75" s="12"/>
      <c r="G75" s="12"/>
    </row>
    <row r="76" spans="1:7" ht="18.75" customHeight="1" x14ac:dyDescent="0.2">
      <c r="A76" s="12"/>
      <c r="B76" s="12"/>
      <c r="C76" s="12"/>
      <c r="D76" s="12"/>
      <c r="E76" s="12"/>
      <c r="G76" s="12"/>
    </row>
    <row r="77" spans="1:7" ht="18.75" customHeight="1" x14ac:dyDescent="0.2">
      <c r="A77" s="12"/>
      <c r="B77" s="12"/>
      <c r="C77" s="12"/>
      <c r="D77" s="12"/>
      <c r="E77" s="12"/>
      <c r="G77" s="12"/>
    </row>
    <row r="78" spans="1:7" ht="18.75" customHeight="1" x14ac:dyDescent="0.2">
      <c r="A78" s="12"/>
      <c r="B78" s="12"/>
      <c r="C78" s="12"/>
      <c r="D78" s="12"/>
      <c r="E78" s="12"/>
      <c r="G78" s="12"/>
    </row>
    <row r="79" spans="1:7" ht="18.75" customHeight="1" x14ac:dyDescent="0.2">
      <c r="A79" s="12"/>
      <c r="B79" s="12"/>
      <c r="C79" s="12"/>
      <c r="D79" s="12"/>
      <c r="E79" s="12"/>
      <c r="G79" s="12"/>
    </row>
    <row r="80" spans="1:7" ht="18.75" customHeight="1" x14ac:dyDescent="0.2">
      <c r="A80" s="12"/>
      <c r="B80" s="12"/>
      <c r="C80" s="12"/>
      <c r="D80" s="12"/>
      <c r="E80" s="12"/>
      <c r="G80" s="12"/>
    </row>
    <row r="81" spans="1:7" ht="18.75" customHeight="1" x14ac:dyDescent="0.2">
      <c r="A81" s="12"/>
      <c r="B81" s="12"/>
      <c r="C81" s="12"/>
      <c r="D81" s="12"/>
      <c r="E81" s="12"/>
      <c r="G81" s="12"/>
    </row>
    <row r="82" spans="1:7" ht="18.75" customHeight="1" x14ac:dyDescent="0.2">
      <c r="C82" s="5"/>
      <c r="D82" s="5"/>
      <c r="G82" s="5"/>
    </row>
    <row r="83" spans="1:7" ht="18.75" customHeight="1" x14ac:dyDescent="0.2">
      <c r="C83" s="5"/>
      <c r="D83" s="5"/>
      <c r="G83" s="5"/>
    </row>
    <row r="84" spans="1:7" ht="18.75" customHeight="1" x14ac:dyDescent="0.2">
      <c r="C84" s="5"/>
      <c r="D84" s="5"/>
      <c r="G84" s="5"/>
    </row>
    <row r="85" spans="1:7" ht="18.75" customHeight="1" x14ac:dyDescent="0.2">
      <c r="C85" s="5"/>
      <c r="D85" s="5"/>
      <c r="G85" s="5"/>
    </row>
    <row r="86" spans="1:7" ht="18.75" customHeight="1" x14ac:dyDescent="0.2">
      <c r="C86" s="5"/>
      <c r="D86" s="5"/>
      <c r="G86" s="5"/>
    </row>
    <row r="87" spans="1:7" ht="18.75" customHeight="1" x14ac:dyDescent="0.2">
      <c r="C87" s="5"/>
      <c r="D87" s="5"/>
      <c r="G87" s="5"/>
    </row>
    <row r="88" spans="1:7" ht="18.75" customHeight="1" x14ac:dyDescent="0.2">
      <c r="C88" s="5"/>
      <c r="D88" s="5"/>
      <c r="G88" s="5"/>
    </row>
    <row r="89" spans="1:7" ht="18.75" customHeight="1" x14ac:dyDescent="0.2">
      <c r="C89" s="5"/>
      <c r="D89" s="5"/>
      <c r="G89" s="5"/>
    </row>
    <row r="90" spans="1:7" ht="18.75" customHeight="1" x14ac:dyDescent="0.2">
      <c r="C90" s="5"/>
      <c r="D90" s="5"/>
      <c r="G90" s="5"/>
    </row>
    <row r="91" spans="1:7" ht="18.75" customHeight="1" x14ac:dyDescent="0.2">
      <c r="C91" s="5"/>
      <c r="D91" s="5"/>
      <c r="G91" s="5"/>
    </row>
    <row r="92" spans="1:7" ht="18.75" customHeight="1" x14ac:dyDescent="0.2">
      <c r="C92" s="5"/>
      <c r="D92" s="5"/>
      <c r="G92" s="5"/>
    </row>
    <row r="93" spans="1:7" ht="18.75" customHeight="1" x14ac:dyDescent="0.2">
      <c r="C93" s="5"/>
      <c r="D93" s="5"/>
      <c r="G93" s="5"/>
    </row>
    <row r="94" spans="1:7" ht="18.75" customHeight="1" x14ac:dyDescent="0.2">
      <c r="C94" s="5"/>
      <c r="D94" s="5"/>
      <c r="G94" s="5"/>
    </row>
    <row r="95" spans="1:7" ht="18.75" customHeight="1" x14ac:dyDescent="0.2">
      <c r="C95" s="5"/>
      <c r="D95" s="5"/>
      <c r="G95" s="5"/>
    </row>
    <row r="96" spans="1:7" ht="18.75" customHeight="1" x14ac:dyDescent="0.2">
      <c r="C96" s="5"/>
      <c r="D96" s="5"/>
      <c r="G96" s="5"/>
    </row>
    <row r="97" spans="3:7" ht="18.75" customHeight="1" x14ac:dyDescent="0.2">
      <c r="C97" s="5"/>
      <c r="D97" s="5"/>
      <c r="G97" s="5"/>
    </row>
    <row r="98" spans="3:7" ht="18.75" customHeight="1" x14ac:dyDescent="0.2">
      <c r="C98" s="5"/>
      <c r="D98" s="5"/>
      <c r="G98" s="5"/>
    </row>
    <row r="99" spans="3:7" ht="18.75" customHeight="1" x14ac:dyDescent="0.2">
      <c r="C99" s="5"/>
      <c r="D99" s="5"/>
      <c r="G99" s="5"/>
    </row>
    <row r="100" spans="3:7" ht="18.75" customHeight="1" x14ac:dyDescent="0.2">
      <c r="C100" s="5"/>
      <c r="D100" s="5"/>
      <c r="G100" s="5"/>
    </row>
    <row r="101" spans="3:7" ht="18.75" customHeight="1" x14ac:dyDescent="0.2">
      <c r="C101" s="5"/>
      <c r="D101" s="5"/>
      <c r="G101" s="5"/>
    </row>
    <row r="102" spans="3:7" ht="18.75" customHeight="1" x14ac:dyDescent="0.2">
      <c r="C102" s="5"/>
      <c r="D102" s="5"/>
      <c r="G102" s="5"/>
    </row>
    <row r="103" spans="3:7" ht="18.75" customHeight="1" x14ac:dyDescent="0.2">
      <c r="C103" s="5"/>
      <c r="D103" s="5"/>
      <c r="G103" s="5"/>
    </row>
    <row r="104" spans="3:7" ht="18.75" customHeight="1" x14ac:dyDescent="0.2">
      <c r="C104" s="5"/>
      <c r="D104" s="5"/>
      <c r="G104" s="5"/>
    </row>
    <row r="105" spans="3:7" ht="18.75" customHeight="1" x14ac:dyDescent="0.2">
      <c r="C105" s="5"/>
      <c r="D105" s="5"/>
      <c r="G105" s="5"/>
    </row>
    <row r="106" spans="3:7" ht="18.75" customHeight="1" x14ac:dyDescent="0.2">
      <c r="C106" s="5"/>
      <c r="D106" s="5"/>
      <c r="G106" s="5"/>
    </row>
    <row r="107" spans="3:7" ht="18.75" customHeight="1" x14ac:dyDescent="0.2">
      <c r="C107" s="5"/>
      <c r="D107" s="5"/>
      <c r="G107" s="5"/>
    </row>
    <row r="108" spans="3:7" ht="18.75" customHeight="1" x14ac:dyDescent="0.2">
      <c r="C108" s="5"/>
      <c r="D108" s="5"/>
      <c r="G108" s="5"/>
    </row>
    <row r="109" spans="3:7" ht="18.75" customHeight="1" x14ac:dyDescent="0.2">
      <c r="C109" s="5"/>
      <c r="D109" s="5"/>
      <c r="G109" s="5"/>
    </row>
    <row r="110" spans="3:7" ht="18.75" customHeight="1" x14ac:dyDescent="0.2">
      <c r="C110" s="5"/>
      <c r="D110" s="5"/>
      <c r="G110" s="5"/>
    </row>
    <row r="111" spans="3:7" ht="18.75" customHeight="1" x14ac:dyDescent="0.2">
      <c r="C111" s="5"/>
      <c r="D111" s="5"/>
      <c r="G111" s="5"/>
    </row>
    <row r="112" spans="3:7" ht="18.75" customHeight="1" x14ac:dyDescent="0.2">
      <c r="C112" s="5"/>
      <c r="D112" s="5"/>
      <c r="G112" s="5"/>
    </row>
    <row r="113" spans="3:7" ht="18.75" customHeight="1" x14ac:dyDescent="0.2">
      <c r="C113" s="5"/>
      <c r="D113" s="5"/>
      <c r="G113" s="5"/>
    </row>
    <row r="114" spans="3:7" ht="18.75" customHeight="1" x14ac:dyDescent="0.2">
      <c r="C114" s="5"/>
      <c r="D114" s="5"/>
      <c r="G114" s="5"/>
    </row>
    <row r="115" spans="3:7" ht="18.75" customHeight="1" x14ac:dyDescent="0.2">
      <c r="C115" s="5"/>
      <c r="D115" s="5"/>
      <c r="G115" s="5"/>
    </row>
    <row r="116" spans="3:7" ht="18.75" customHeight="1" x14ac:dyDescent="0.2">
      <c r="C116" s="5"/>
      <c r="D116" s="5"/>
      <c r="G116" s="5"/>
    </row>
    <row r="117" spans="3:7" ht="18.75" customHeight="1" x14ac:dyDescent="0.2">
      <c r="C117" s="5"/>
      <c r="D117" s="5"/>
      <c r="G117" s="5"/>
    </row>
    <row r="118" spans="3:7" ht="18.75" customHeight="1" x14ac:dyDescent="0.2">
      <c r="C118" s="5"/>
      <c r="D118" s="5"/>
      <c r="G118" s="5"/>
    </row>
    <row r="119" spans="3:7" ht="18.75" customHeight="1" x14ac:dyDescent="0.2">
      <c r="C119" s="5"/>
      <c r="D119" s="5"/>
      <c r="G119" s="5"/>
    </row>
    <row r="120" spans="3:7" ht="18.75" customHeight="1" x14ac:dyDescent="0.2">
      <c r="C120" s="5"/>
      <c r="D120" s="5"/>
      <c r="G120" s="5"/>
    </row>
    <row r="121" spans="3:7" ht="18.75" customHeight="1" x14ac:dyDescent="0.2">
      <c r="C121" s="5"/>
      <c r="D121" s="5"/>
      <c r="G121" s="5"/>
    </row>
    <row r="122" spans="3:7" ht="18.75" customHeight="1" x14ac:dyDescent="0.2">
      <c r="C122" s="5"/>
      <c r="D122" s="5"/>
      <c r="G122" s="5"/>
    </row>
    <row r="123" spans="3:7" ht="18.75" customHeight="1" x14ac:dyDescent="0.2">
      <c r="C123" s="5"/>
      <c r="D123" s="5"/>
      <c r="G123" s="5"/>
    </row>
    <row r="124" spans="3:7" ht="18.75" customHeight="1" x14ac:dyDescent="0.2">
      <c r="C124" s="5"/>
      <c r="D124" s="5"/>
      <c r="G124" s="5"/>
    </row>
    <row r="125" spans="3:7" ht="18.75" customHeight="1" x14ac:dyDescent="0.2">
      <c r="C125" s="5"/>
      <c r="D125" s="5"/>
      <c r="G125" s="5"/>
    </row>
    <row r="126" spans="3:7" ht="18.75" customHeight="1" x14ac:dyDescent="0.2">
      <c r="C126" s="5"/>
      <c r="D126" s="5"/>
      <c r="G126" s="5"/>
    </row>
    <row r="127" spans="3:7" ht="18.75" customHeight="1" x14ac:dyDescent="0.2">
      <c r="C127" s="5"/>
      <c r="D127" s="5"/>
      <c r="G127" s="5"/>
    </row>
    <row r="128" spans="3:7" ht="18.75" customHeight="1" x14ac:dyDescent="0.2">
      <c r="C128" s="5"/>
      <c r="D128" s="5"/>
      <c r="G128" s="5"/>
    </row>
    <row r="129" spans="3:7" ht="18.75" customHeight="1" x14ac:dyDescent="0.2">
      <c r="C129" s="5"/>
      <c r="D129" s="5"/>
      <c r="G129" s="5"/>
    </row>
    <row r="130" spans="3:7" ht="18.75" customHeight="1" x14ac:dyDescent="0.2">
      <c r="C130" s="5"/>
      <c r="D130" s="5"/>
      <c r="G130" s="5"/>
    </row>
    <row r="131" spans="3:7" ht="18.75" customHeight="1" x14ac:dyDescent="0.2">
      <c r="C131" s="5"/>
      <c r="D131" s="5"/>
      <c r="G131" s="5"/>
    </row>
    <row r="132" spans="3:7" ht="18.75" customHeight="1" x14ac:dyDescent="0.2">
      <c r="C132" s="5"/>
      <c r="D132" s="5"/>
      <c r="G132" s="5"/>
    </row>
    <row r="133" spans="3:7" ht="18.75" customHeight="1" x14ac:dyDescent="0.2">
      <c r="C133" s="5"/>
      <c r="D133" s="5"/>
      <c r="G133" s="5"/>
    </row>
    <row r="134" spans="3:7" ht="18.75" customHeight="1" x14ac:dyDescent="0.2">
      <c r="C134" s="5"/>
      <c r="D134" s="5"/>
      <c r="G134" s="5"/>
    </row>
    <row r="135" spans="3:7" ht="18.75" customHeight="1" x14ac:dyDescent="0.2">
      <c r="C135" s="5"/>
      <c r="D135" s="5"/>
      <c r="G135" s="5"/>
    </row>
    <row r="136" spans="3:7" ht="18.75" customHeight="1" x14ac:dyDescent="0.2">
      <c r="C136" s="5"/>
      <c r="D136" s="5"/>
      <c r="G136" s="5"/>
    </row>
    <row r="137" spans="3:7" ht="18.75" customHeight="1" x14ac:dyDescent="0.2">
      <c r="C137" s="5"/>
      <c r="D137" s="5"/>
      <c r="G137" s="5"/>
    </row>
    <row r="138" spans="3:7" ht="18.75" customHeight="1" x14ac:dyDescent="0.2">
      <c r="C138" s="5"/>
      <c r="D138" s="5"/>
      <c r="G138" s="5"/>
    </row>
    <row r="139" spans="3:7" ht="18.75" customHeight="1" x14ac:dyDescent="0.2">
      <c r="C139" s="5"/>
      <c r="D139" s="5"/>
      <c r="G139" s="5"/>
    </row>
    <row r="140" spans="3:7" ht="18.75" customHeight="1" x14ac:dyDescent="0.2">
      <c r="C140" s="5"/>
      <c r="D140" s="5"/>
      <c r="G140" s="5"/>
    </row>
    <row r="141" spans="3:7" ht="18.75" customHeight="1" x14ac:dyDescent="0.2">
      <c r="C141" s="5"/>
      <c r="D141" s="5"/>
      <c r="G141" s="5"/>
    </row>
    <row r="142" spans="3:7" ht="18.75" customHeight="1" x14ac:dyDescent="0.2">
      <c r="C142" s="5"/>
      <c r="D142" s="5"/>
      <c r="G142" s="5"/>
    </row>
    <row r="143" spans="3:7" ht="18.75" customHeight="1" x14ac:dyDescent="0.2">
      <c r="C143" s="5"/>
      <c r="D143" s="5"/>
      <c r="G143" s="5"/>
    </row>
    <row r="144" spans="3:7" ht="18.75" customHeight="1" x14ac:dyDescent="0.2">
      <c r="C144" s="5"/>
      <c r="D144" s="5"/>
      <c r="G144" s="5"/>
    </row>
    <row r="145" spans="3:7" ht="18.75" customHeight="1" x14ac:dyDescent="0.2">
      <c r="C145" s="5"/>
      <c r="D145" s="5"/>
      <c r="G145" s="5"/>
    </row>
    <row r="146" spans="3:7" ht="18.75" customHeight="1" x14ac:dyDescent="0.2">
      <c r="C146" s="5"/>
      <c r="D146" s="5"/>
      <c r="G146" s="5"/>
    </row>
    <row r="147" spans="3:7" ht="18.75" customHeight="1" x14ac:dyDescent="0.2">
      <c r="C147" s="5"/>
      <c r="D147" s="5"/>
      <c r="G147" s="5"/>
    </row>
    <row r="148" spans="3:7" ht="18.75" customHeight="1" x14ac:dyDescent="0.2">
      <c r="C148" s="5"/>
      <c r="D148" s="5"/>
      <c r="G148" s="5"/>
    </row>
    <row r="149" spans="3:7" ht="18.75" customHeight="1" x14ac:dyDescent="0.2">
      <c r="C149" s="5"/>
      <c r="D149" s="5"/>
      <c r="G149" s="5"/>
    </row>
    <row r="150" spans="3:7" ht="18.75" customHeight="1" x14ac:dyDescent="0.2">
      <c r="C150" s="5"/>
      <c r="D150" s="5"/>
      <c r="G150" s="5"/>
    </row>
    <row r="151" spans="3:7" ht="18.75" customHeight="1" x14ac:dyDescent="0.2">
      <c r="C151" s="5"/>
      <c r="D151" s="5"/>
      <c r="G151" s="5"/>
    </row>
    <row r="152" spans="3:7" ht="18.75" customHeight="1" x14ac:dyDescent="0.2">
      <c r="C152" s="5"/>
      <c r="D152" s="5"/>
      <c r="G152" s="5"/>
    </row>
    <row r="153" spans="3:7" ht="18.75" customHeight="1" x14ac:dyDescent="0.2">
      <c r="C153" s="5"/>
      <c r="D153" s="5"/>
      <c r="G153" s="5"/>
    </row>
    <row r="154" spans="3:7" ht="18.75" customHeight="1" x14ac:dyDescent="0.2">
      <c r="C154" s="5"/>
      <c r="D154" s="5"/>
      <c r="G154" s="5"/>
    </row>
    <row r="155" spans="3:7" ht="18.75" customHeight="1" x14ac:dyDescent="0.2">
      <c r="C155" s="5"/>
      <c r="D155" s="5"/>
      <c r="G155" s="5"/>
    </row>
    <row r="156" spans="3:7" ht="18.75" customHeight="1" x14ac:dyDescent="0.2">
      <c r="C156" s="5"/>
      <c r="D156" s="5"/>
      <c r="G156" s="5"/>
    </row>
    <row r="157" spans="3:7" ht="18.75" customHeight="1" x14ac:dyDescent="0.2">
      <c r="C157" s="5"/>
      <c r="D157" s="5"/>
      <c r="G157" s="5"/>
    </row>
    <row r="158" spans="3:7" ht="18.75" customHeight="1" x14ac:dyDescent="0.2">
      <c r="C158" s="5"/>
      <c r="D158" s="5"/>
      <c r="G158" s="5"/>
    </row>
    <row r="159" spans="3:7" ht="18.75" customHeight="1" x14ac:dyDescent="0.2">
      <c r="C159" s="5"/>
      <c r="D159" s="5"/>
      <c r="G159" s="5"/>
    </row>
    <row r="160" spans="3:7" ht="18.75" customHeight="1" x14ac:dyDescent="0.2">
      <c r="C160" s="5"/>
      <c r="D160" s="5"/>
      <c r="G160" s="5"/>
    </row>
    <row r="161" spans="3:7" ht="18.75" customHeight="1" x14ac:dyDescent="0.2">
      <c r="C161" s="5"/>
      <c r="D161" s="5"/>
      <c r="G161" s="5"/>
    </row>
    <row r="162" spans="3:7" ht="18.75" customHeight="1" x14ac:dyDescent="0.2">
      <c r="C162" s="5"/>
      <c r="D162" s="5"/>
      <c r="G162" s="5"/>
    </row>
    <row r="163" spans="3:7" ht="18.75" customHeight="1" x14ac:dyDescent="0.2">
      <c r="C163" s="5"/>
      <c r="D163" s="5"/>
      <c r="G163" s="5"/>
    </row>
    <row r="164" spans="3:7" ht="18.75" customHeight="1" x14ac:dyDescent="0.2">
      <c r="C164" s="5"/>
      <c r="D164" s="5"/>
      <c r="G164" s="5"/>
    </row>
    <row r="165" spans="3:7" ht="18.75" customHeight="1" x14ac:dyDescent="0.2">
      <c r="C165" s="5"/>
      <c r="D165" s="5"/>
      <c r="G165" s="5"/>
    </row>
    <row r="166" spans="3:7" ht="18.75" customHeight="1" x14ac:dyDescent="0.2">
      <c r="C166" s="5"/>
      <c r="D166" s="5"/>
      <c r="G166" s="5"/>
    </row>
    <row r="167" spans="3:7" ht="18.75" customHeight="1" x14ac:dyDescent="0.2">
      <c r="C167" s="5"/>
      <c r="D167" s="5"/>
      <c r="G167" s="5"/>
    </row>
    <row r="168" spans="3:7" ht="18.75" customHeight="1" x14ac:dyDescent="0.2">
      <c r="C168" s="5"/>
      <c r="D168" s="5"/>
      <c r="G168" s="5"/>
    </row>
    <row r="169" spans="3:7" ht="18.75" customHeight="1" x14ac:dyDescent="0.2">
      <c r="C169" s="5"/>
      <c r="D169" s="5"/>
      <c r="G169" s="5"/>
    </row>
    <row r="170" spans="3:7" ht="18.75" customHeight="1" x14ac:dyDescent="0.2">
      <c r="C170" s="5"/>
      <c r="D170" s="5"/>
      <c r="G170" s="5"/>
    </row>
    <row r="171" spans="3:7" ht="18.75" customHeight="1" x14ac:dyDescent="0.2">
      <c r="C171" s="5"/>
      <c r="D171" s="5"/>
      <c r="G171" s="5"/>
    </row>
    <row r="172" spans="3:7" ht="18.75" customHeight="1" x14ac:dyDescent="0.2">
      <c r="C172" s="5"/>
      <c r="D172" s="5"/>
      <c r="G172" s="5"/>
    </row>
    <row r="173" spans="3:7" ht="18.75" customHeight="1" x14ac:dyDescent="0.2">
      <c r="C173" s="5"/>
      <c r="D173" s="5"/>
      <c r="G173" s="5"/>
    </row>
    <row r="174" spans="3:7" ht="18.75" customHeight="1" x14ac:dyDescent="0.2">
      <c r="C174" s="5"/>
      <c r="D174" s="5"/>
      <c r="G174" s="5"/>
    </row>
    <row r="175" spans="3:7" ht="18.75" customHeight="1" x14ac:dyDescent="0.2">
      <c r="C175" s="5"/>
      <c r="D175" s="5"/>
      <c r="G175" s="5"/>
    </row>
    <row r="176" spans="3:7" ht="18.75" customHeight="1" x14ac:dyDescent="0.2">
      <c r="C176" s="5"/>
      <c r="D176" s="5"/>
      <c r="G176" s="5"/>
    </row>
    <row r="177" spans="3:7" ht="18.75" customHeight="1" x14ac:dyDescent="0.2">
      <c r="C177" s="5"/>
      <c r="D177" s="5"/>
      <c r="G177" s="5"/>
    </row>
    <row r="178" spans="3:7" ht="18.75" customHeight="1" x14ac:dyDescent="0.2">
      <c r="C178" s="5"/>
      <c r="D178" s="5"/>
      <c r="G178" s="5"/>
    </row>
    <row r="179" spans="3:7" ht="18.75" customHeight="1" x14ac:dyDescent="0.2">
      <c r="C179" s="5"/>
      <c r="D179" s="5"/>
      <c r="G179" s="5"/>
    </row>
    <row r="180" spans="3:7" ht="18.75" customHeight="1" x14ac:dyDescent="0.2">
      <c r="C180" s="5"/>
      <c r="D180" s="5"/>
      <c r="G180" s="5"/>
    </row>
  </sheetData>
  <mergeCells count="1">
    <mergeCell ref="A1:E1"/>
  </mergeCells>
  <phoneticPr fontId="19" type="noConversion"/>
  <printOptions horizontalCentered="1"/>
  <pageMargins left="0.75" right="0.75" top="0.75" bottom="0.75" header="0.5" footer="0.5"/>
  <pageSetup scale="98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6"/>
  <sheetViews>
    <sheetView workbookViewId="0"/>
  </sheetViews>
  <sheetFormatPr defaultRowHeight="16.5" x14ac:dyDescent="0.3"/>
  <cols>
    <col min="1" max="1" width="40.140625" style="111" bestFit="1" customWidth="1"/>
    <col min="2" max="4" width="10.7109375" style="111" hidden="1" customWidth="1"/>
    <col min="5" max="5" width="11.28515625" style="111" hidden="1" customWidth="1"/>
    <col min="6" max="8" width="11.28515625" style="111" customWidth="1"/>
    <col min="9" max="16384" width="9.140625" style="111"/>
  </cols>
  <sheetData>
    <row r="1" spans="1:9" ht="22.5" customHeight="1" x14ac:dyDescent="0.3">
      <c r="A1" s="578" t="s">
        <v>53</v>
      </c>
      <c r="B1" s="216"/>
      <c r="C1" s="216"/>
      <c r="D1" s="216"/>
      <c r="E1" s="216"/>
      <c r="F1" s="216"/>
      <c r="G1" s="216"/>
      <c r="H1" s="216"/>
    </row>
    <row r="2" spans="1:9" x14ac:dyDescent="0.3">
      <c r="A2" s="299"/>
      <c r="B2" s="109">
        <v>2010</v>
      </c>
      <c r="C2" s="109">
        <v>2013</v>
      </c>
      <c r="D2" s="109">
        <v>2014</v>
      </c>
      <c r="E2" s="109">
        <v>2015</v>
      </c>
      <c r="F2" s="109">
        <v>2016</v>
      </c>
      <c r="G2" s="109">
        <v>2017</v>
      </c>
      <c r="H2" s="109">
        <v>2018</v>
      </c>
    </row>
    <row r="3" spans="1:9" x14ac:dyDescent="0.3">
      <c r="A3" s="299"/>
      <c r="B3" s="109"/>
      <c r="C3" s="109"/>
      <c r="D3" s="109"/>
      <c r="E3" s="109"/>
      <c r="F3" s="752"/>
      <c r="G3" s="752"/>
      <c r="H3" s="752"/>
      <c r="I3"/>
    </row>
    <row r="4" spans="1:9" x14ac:dyDescent="0.3">
      <c r="A4" s="52" t="s">
        <v>473</v>
      </c>
      <c r="B4" s="61">
        <v>200</v>
      </c>
      <c r="C4" s="53">
        <v>100</v>
      </c>
      <c r="D4" s="53">
        <v>100</v>
      </c>
      <c r="E4" s="53">
        <v>100</v>
      </c>
      <c r="F4" s="738">
        <v>100</v>
      </c>
      <c r="G4" s="738">
        <v>100</v>
      </c>
      <c r="H4" s="738">
        <v>100</v>
      </c>
      <c r="I4"/>
    </row>
    <row r="5" spans="1:9" x14ac:dyDescent="0.3">
      <c r="A5" s="196" t="s">
        <v>289</v>
      </c>
      <c r="B5" s="53">
        <v>4000</v>
      </c>
      <c r="C5" s="105">
        <v>5000</v>
      </c>
      <c r="D5" s="105">
        <v>5400</v>
      </c>
      <c r="E5" s="105">
        <f>5400+1800</f>
        <v>7200</v>
      </c>
      <c r="F5" s="731">
        <f>5400+2000</f>
        <v>7400</v>
      </c>
      <c r="G5" s="731">
        <f>5400+2000</f>
        <v>7400</v>
      </c>
      <c r="H5" s="731">
        <f>5400+4000+2000</f>
        <v>11400</v>
      </c>
      <c r="I5"/>
    </row>
    <row r="6" spans="1:9" x14ac:dyDescent="0.3">
      <c r="A6" s="52" t="s">
        <v>474</v>
      </c>
      <c r="B6" s="61">
        <v>1500</v>
      </c>
      <c r="C6" s="53">
        <v>400</v>
      </c>
      <c r="D6" s="53">
        <v>400</v>
      </c>
      <c r="E6" s="53">
        <v>400</v>
      </c>
      <c r="F6" s="738">
        <v>600</v>
      </c>
      <c r="G6" s="738">
        <v>800</v>
      </c>
      <c r="H6" s="738">
        <v>800</v>
      </c>
      <c r="I6"/>
    </row>
    <row r="7" spans="1:9" x14ac:dyDescent="0.3">
      <c r="A7" s="52" t="s">
        <v>475</v>
      </c>
      <c r="B7" s="61">
        <v>600</v>
      </c>
      <c r="C7" s="53">
        <v>300</v>
      </c>
      <c r="D7" s="53">
        <v>300</v>
      </c>
      <c r="E7" s="53">
        <v>350</v>
      </c>
      <c r="F7" s="738">
        <v>400</v>
      </c>
      <c r="G7" s="738">
        <v>400</v>
      </c>
      <c r="H7" s="738">
        <v>400</v>
      </c>
      <c r="I7"/>
    </row>
    <row r="8" spans="1:9" x14ac:dyDescent="0.3">
      <c r="A8" s="39" t="s">
        <v>476</v>
      </c>
      <c r="B8" s="61">
        <v>800</v>
      </c>
      <c r="C8" s="61">
        <v>800</v>
      </c>
      <c r="D8" s="61">
        <f>8*250</f>
        <v>2000</v>
      </c>
      <c r="E8" s="61">
        <v>2000</v>
      </c>
      <c r="F8" s="739">
        <v>2000</v>
      </c>
      <c r="G8" s="739">
        <v>2000</v>
      </c>
      <c r="H8" s="739">
        <v>2000</v>
      </c>
      <c r="I8"/>
    </row>
    <row r="9" spans="1:9" x14ac:dyDescent="0.3">
      <c r="A9" s="52" t="s">
        <v>477</v>
      </c>
      <c r="B9" s="61">
        <v>1000</v>
      </c>
      <c r="C9" s="53">
        <v>500</v>
      </c>
      <c r="D9" s="53">
        <v>500</v>
      </c>
      <c r="E9" s="53">
        <v>600</v>
      </c>
      <c r="F9" s="738">
        <v>600</v>
      </c>
      <c r="G9" s="738">
        <v>1200</v>
      </c>
      <c r="H9" s="738">
        <v>1200</v>
      </c>
      <c r="I9"/>
    </row>
    <row r="10" spans="1:9" x14ac:dyDescent="0.3">
      <c r="A10" s="39" t="s">
        <v>478</v>
      </c>
      <c r="B10" s="61">
        <v>11000</v>
      </c>
      <c r="C10" s="61">
        <v>10400</v>
      </c>
      <c r="D10" s="61">
        <f>8*1500</f>
        <v>12000</v>
      </c>
      <c r="E10" s="61">
        <f>1478.25*8</f>
        <v>11826</v>
      </c>
      <c r="F10" s="739">
        <f>1500*8</f>
        <v>12000</v>
      </c>
      <c r="G10" s="739">
        <f>1500*35</f>
        <v>52500</v>
      </c>
      <c r="H10" s="739">
        <f>1500*5</f>
        <v>7500</v>
      </c>
      <c r="I10"/>
    </row>
    <row r="11" spans="1:9" x14ac:dyDescent="0.3">
      <c r="A11" s="52" t="s">
        <v>479</v>
      </c>
      <c r="B11" s="53">
        <v>1200</v>
      </c>
      <c r="C11" s="53">
        <v>1500</v>
      </c>
      <c r="D11" s="53">
        <v>1500</v>
      </c>
      <c r="E11" s="53">
        <v>1500</v>
      </c>
      <c r="F11" s="738">
        <v>1500</v>
      </c>
      <c r="G11" s="738">
        <v>2500</v>
      </c>
      <c r="H11" s="738">
        <v>2500</v>
      </c>
      <c r="I11"/>
    </row>
    <row r="12" spans="1:9" x14ac:dyDescent="0.3">
      <c r="A12" s="39" t="s">
        <v>480</v>
      </c>
      <c r="B12" s="61">
        <v>11000</v>
      </c>
      <c r="C12" s="61">
        <v>6800</v>
      </c>
      <c r="D12" s="61">
        <f>8*900</f>
        <v>7200</v>
      </c>
      <c r="E12" s="61">
        <f>930.6*8</f>
        <v>7444.8</v>
      </c>
      <c r="F12" s="739">
        <f>950*8</f>
        <v>7600</v>
      </c>
      <c r="G12" s="739">
        <f>900*35</f>
        <v>31500</v>
      </c>
      <c r="H12" s="739">
        <f>900*5</f>
        <v>4500</v>
      </c>
      <c r="I12"/>
    </row>
    <row r="13" spans="1:9" x14ac:dyDescent="0.3">
      <c r="A13" s="52" t="s">
        <v>481</v>
      </c>
      <c r="B13" s="61">
        <v>400</v>
      </c>
      <c r="C13" s="53">
        <v>200</v>
      </c>
      <c r="D13" s="53">
        <v>200</v>
      </c>
      <c r="E13" s="53">
        <v>100</v>
      </c>
      <c r="F13" s="738">
        <v>150</v>
      </c>
      <c r="G13" s="738">
        <v>150</v>
      </c>
      <c r="H13" s="738">
        <v>150</v>
      </c>
      <c r="I13"/>
    </row>
    <row r="14" spans="1:9" x14ac:dyDescent="0.3">
      <c r="A14" s="52" t="s">
        <v>482</v>
      </c>
      <c r="B14" s="62">
        <v>200</v>
      </c>
      <c r="C14" s="53">
        <v>400</v>
      </c>
      <c r="D14" s="53">
        <f>15*40</f>
        <v>600</v>
      </c>
      <c r="E14" s="53">
        <v>600</v>
      </c>
      <c r="F14" s="738">
        <v>600</v>
      </c>
      <c r="G14" s="738">
        <v>600</v>
      </c>
      <c r="H14" s="738">
        <v>600</v>
      </c>
      <c r="I14"/>
    </row>
    <row r="15" spans="1:9" x14ac:dyDescent="0.3">
      <c r="A15" s="39" t="s">
        <v>483</v>
      </c>
      <c r="B15" s="61">
        <v>250</v>
      </c>
      <c r="C15" s="61">
        <v>500</v>
      </c>
      <c r="D15" s="61">
        <f>15*40.3</f>
        <v>604.5</v>
      </c>
      <c r="E15" s="61">
        <f>40.3*15</f>
        <v>604.5</v>
      </c>
      <c r="F15" s="739">
        <f>42*15</f>
        <v>630</v>
      </c>
      <c r="G15" s="739">
        <f>50*15</f>
        <v>750</v>
      </c>
      <c r="H15" s="739">
        <f>50*15</f>
        <v>750</v>
      </c>
      <c r="I15"/>
    </row>
    <row r="16" spans="1:9" x14ac:dyDescent="0.3">
      <c r="A16" s="52" t="s">
        <v>484</v>
      </c>
      <c r="B16" s="62">
        <v>800</v>
      </c>
      <c r="C16" s="53"/>
      <c r="D16" s="53"/>
      <c r="E16" s="53"/>
      <c r="F16" s="738">
        <v>0</v>
      </c>
      <c r="G16" s="738">
        <v>2000</v>
      </c>
      <c r="H16" s="738">
        <v>2000</v>
      </c>
      <c r="I16"/>
    </row>
    <row r="17" spans="1:9" x14ac:dyDescent="0.3">
      <c r="A17" s="39" t="s">
        <v>485</v>
      </c>
      <c r="B17" s="61">
        <v>2000</v>
      </c>
      <c r="C17" s="61">
        <v>2000</v>
      </c>
      <c r="D17" s="61">
        <f>15*101.25</f>
        <v>1518.75</v>
      </c>
      <c r="E17" s="61">
        <f>239*10</f>
        <v>2390</v>
      </c>
      <c r="F17" s="739">
        <f>245*10</f>
        <v>2450</v>
      </c>
      <c r="G17" s="739">
        <f>250*10</f>
        <v>2500</v>
      </c>
      <c r="H17" s="739">
        <f>250*15</f>
        <v>3750</v>
      </c>
      <c r="I17"/>
    </row>
    <row r="18" spans="1:9" x14ac:dyDescent="0.3">
      <c r="A18" s="52" t="s">
        <v>486</v>
      </c>
      <c r="B18" s="62">
        <v>300</v>
      </c>
      <c r="C18" s="53">
        <v>500</v>
      </c>
      <c r="D18" s="53">
        <v>500</v>
      </c>
      <c r="E18" s="53">
        <v>800</v>
      </c>
      <c r="F18" s="738">
        <v>800</v>
      </c>
      <c r="G18" s="738">
        <v>800</v>
      </c>
      <c r="H18" s="738">
        <v>800</v>
      </c>
      <c r="I18"/>
    </row>
    <row r="19" spans="1:9" x14ac:dyDescent="0.3">
      <c r="A19" s="39" t="s">
        <v>487</v>
      </c>
      <c r="B19" s="61">
        <v>2000</v>
      </c>
      <c r="C19" s="61">
        <v>2000</v>
      </c>
      <c r="D19" s="61">
        <f>15*106.3</f>
        <v>1594.5</v>
      </c>
      <c r="E19" s="61">
        <f>216*10</f>
        <v>2160</v>
      </c>
      <c r="F19" s="739">
        <f>216*10</f>
        <v>2160</v>
      </c>
      <c r="G19" s="739">
        <f>220*10</f>
        <v>2200</v>
      </c>
      <c r="H19" s="739">
        <f>220*15</f>
        <v>3300</v>
      </c>
      <c r="I19"/>
    </row>
    <row r="20" spans="1:9" x14ac:dyDescent="0.3">
      <c r="A20" s="52" t="s">
        <v>488</v>
      </c>
      <c r="B20" s="53">
        <v>200</v>
      </c>
      <c r="C20" s="53">
        <v>500</v>
      </c>
      <c r="D20" s="53">
        <v>500</v>
      </c>
      <c r="E20" s="53">
        <v>500</v>
      </c>
      <c r="F20" s="738">
        <v>400</v>
      </c>
      <c r="G20" s="738">
        <f>85*24</f>
        <v>2040</v>
      </c>
      <c r="H20" s="738">
        <f>85*12</f>
        <v>1020</v>
      </c>
      <c r="I20"/>
    </row>
    <row r="21" spans="1:9" x14ac:dyDescent="0.3">
      <c r="A21" s="873" t="s">
        <v>620</v>
      </c>
      <c r="B21" s="858"/>
      <c r="C21" s="858"/>
      <c r="D21" s="858"/>
      <c r="E21" s="858"/>
      <c r="F21" s="769">
        <v>1500</v>
      </c>
      <c r="G21" s="769">
        <v>300</v>
      </c>
      <c r="H21" s="769">
        <v>300</v>
      </c>
      <c r="I21"/>
    </row>
    <row r="22" spans="1:9" x14ac:dyDescent="0.3">
      <c r="A22" s="873" t="s">
        <v>636</v>
      </c>
      <c r="B22" s="858"/>
      <c r="C22" s="858"/>
      <c r="D22" s="858"/>
      <c r="E22" s="858"/>
      <c r="F22" s="769">
        <v>7500</v>
      </c>
      <c r="G22" s="769">
        <v>0</v>
      </c>
      <c r="H22" s="769">
        <v>0</v>
      </c>
      <c r="I22"/>
    </row>
    <row r="23" spans="1:9" x14ac:dyDescent="0.3">
      <c r="A23" s="213" t="s">
        <v>716</v>
      </c>
      <c r="B23" s="874"/>
      <c r="C23" s="454"/>
      <c r="D23" s="454"/>
      <c r="E23" s="454"/>
      <c r="F23" s="677">
        <v>0</v>
      </c>
      <c r="G23" s="677">
        <v>0</v>
      </c>
      <c r="H23" s="677">
        <f>(270*29)+(270*29)+(290*2)+(185*2)</f>
        <v>16610</v>
      </c>
      <c r="I23"/>
    </row>
    <row r="24" spans="1:9" x14ac:dyDescent="0.3">
      <c r="A24" s="852" t="s">
        <v>179</v>
      </c>
      <c r="B24" s="875">
        <f t="shared" ref="B24:H24" si="0">SUM(B3:B23)</f>
        <v>37450</v>
      </c>
      <c r="C24" s="876">
        <f t="shared" si="0"/>
        <v>31900</v>
      </c>
      <c r="D24" s="877">
        <f t="shared" si="0"/>
        <v>34917.75</v>
      </c>
      <c r="E24" s="877">
        <f t="shared" si="0"/>
        <v>38575.300000000003</v>
      </c>
      <c r="F24" s="878">
        <f t="shared" si="0"/>
        <v>48390</v>
      </c>
      <c r="G24" s="879">
        <f t="shared" ref="G24" si="1">SUM(G3:G23)</f>
        <v>109740</v>
      </c>
      <c r="H24" s="880">
        <f t="shared" si="0"/>
        <v>59680</v>
      </c>
      <c r="I24"/>
    </row>
    <row r="25" spans="1:9" ht="18" customHeight="1" x14ac:dyDescent="0.3"/>
    <row r="26" spans="1:9" x14ac:dyDescent="0.3">
      <c r="A26" s="13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0"/>
  <sheetViews>
    <sheetView workbookViewId="0"/>
  </sheetViews>
  <sheetFormatPr defaultRowHeight="18.75" customHeight="1" x14ac:dyDescent="0.3"/>
  <cols>
    <col min="1" max="1" width="44.42578125" style="97" customWidth="1"/>
    <col min="2" max="4" width="10.5703125" style="27" hidden="1" customWidth="1"/>
    <col min="5" max="5" width="10.85546875" style="27" hidden="1" customWidth="1"/>
    <col min="6" max="8" width="10.85546875" style="27" customWidth="1"/>
    <col min="9" max="16384" width="9.140625" style="27"/>
  </cols>
  <sheetData>
    <row r="1" spans="1:10" s="46" customFormat="1" ht="18.95" customHeight="1" x14ac:dyDescent="0.3">
      <c r="A1" s="216" t="s">
        <v>538</v>
      </c>
      <c r="B1" s="190"/>
      <c r="C1" s="190"/>
      <c r="D1" s="190"/>
      <c r="E1" s="206"/>
      <c r="F1" s="206"/>
      <c r="G1" s="206"/>
      <c r="H1" s="206"/>
      <c r="I1" s="27"/>
      <c r="J1" s="27"/>
    </row>
    <row r="2" spans="1:10" ht="18.95" customHeight="1" x14ac:dyDescent="0.3">
      <c r="A2" s="98"/>
      <c r="B2" s="98"/>
      <c r="C2" s="98"/>
      <c r="D2" s="98"/>
      <c r="E2" s="48"/>
      <c r="F2" s="48"/>
      <c r="G2" s="48"/>
      <c r="H2" s="48"/>
    </row>
    <row r="3" spans="1:10" s="46" customFormat="1" ht="18.95" customHeight="1" x14ac:dyDescent="0.3">
      <c r="A3" s="41" t="s">
        <v>130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27"/>
      <c r="J3" s="27"/>
    </row>
    <row r="4" spans="1:10" s="123" customFormat="1" ht="18.95" customHeight="1" x14ac:dyDescent="0.3">
      <c r="A4" s="101"/>
      <c r="B4" s="117"/>
      <c r="C4" s="219"/>
      <c r="D4" s="219"/>
      <c r="E4" s="219"/>
      <c r="F4" s="756"/>
      <c r="G4" s="756"/>
      <c r="H4" s="756"/>
      <c r="I4" s="220"/>
      <c r="J4" s="220"/>
    </row>
    <row r="5" spans="1:10" s="46" customFormat="1" ht="18.95" customHeight="1" x14ac:dyDescent="0.3">
      <c r="A5" s="54" t="s">
        <v>5</v>
      </c>
      <c r="B5" s="62">
        <v>200</v>
      </c>
      <c r="C5" s="355">
        <v>900</v>
      </c>
      <c r="D5" s="355">
        <v>800</v>
      </c>
      <c r="E5" s="355">
        <v>800</v>
      </c>
      <c r="F5" s="774">
        <v>800</v>
      </c>
      <c r="G5" s="774">
        <v>1500</v>
      </c>
      <c r="H5" s="774">
        <v>1500</v>
      </c>
      <c r="I5" s="27"/>
      <c r="J5" s="27"/>
    </row>
    <row r="6" spans="1:10" ht="18.95" customHeight="1" x14ac:dyDescent="0.3">
      <c r="A6" s="54" t="s">
        <v>156</v>
      </c>
      <c r="B6" s="42">
        <v>125</v>
      </c>
      <c r="C6" s="355">
        <v>100</v>
      </c>
      <c r="D6" s="355">
        <v>0</v>
      </c>
      <c r="E6" s="355">
        <v>0</v>
      </c>
      <c r="F6" s="774">
        <v>225</v>
      </c>
      <c r="G6" s="774">
        <v>225</v>
      </c>
      <c r="H6" s="774">
        <v>225</v>
      </c>
    </row>
    <row r="7" spans="1:10" ht="18.95" customHeight="1" x14ac:dyDescent="0.3">
      <c r="A7" s="54" t="s">
        <v>540</v>
      </c>
      <c r="B7" s="62">
        <v>125</v>
      </c>
      <c r="C7" s="64">
        <v>1000</v>
      </c>
      <c r="D7" s="64">
        <v>2500</v>
      </c>
      <c r="E7" s="64">
        <v>2500</v>
      </c>
      <c r="F7" s="775">
        <v>2500</v>
      </c>
      <c r="G7" s="775">
        <v>2500</v>
      </c>
      <c r="H7" s="775">
        <v>2500</v>
      </c>
    </row>
    <row r="8" spans="1:10" ht="18.95" customHeight="1" x14ac:dyDescent="0.3">
      <c r="A8" s="63" t="s">
        <v>17</v>
      </c>
      <c r="B8" s="197">
        <v>1000</v>
      </c>
      <c r="C8" s="61">
        <v>2500</v>
      </c>
      <c r="D8" s="61">
        <v>1500</v>
      </c>
      <c r="E8" s="61">
        <v>1500</v>
      </c>
      <c r="F8" s="739">
        <v>1000</v>
      </c>
      <c r="G8" s="739">
        <v>3500</v>
      </c>
      <c r="H8" s="739">
        <v>3500</v>
      </c>
    </row>
    <row r="9" spans="1:10" ht="18.95" customHeight="1" x14ac:dyDescent="0.3">
      <c r="A9" s="464" t="s">
        <v>459</v>
      </c>
      <c r="B9" s="107"/>
      <c r="C9" s="106">
        <v>1200</v>
      </c>
      <c r="D9" s="106">
        <v>1200</v>
      </c>
      <c r="E9" s="106">
        <v>1800</v>
      </c>
      <c r="F9" s="740">
        <v>1500</v>
      </c>
      <c r="G9" s="740">
        <v>3500</v>
      </c>
      <c r="H9" s="740">
        <v>3500</v>
      </c>
    </row>
    <row r="10" spans="1:10" ht="18.95" customHeight="1" x14ac:dyDescent="0.3">
      <c r="A10" s="464" t="s">
        <v>743</v>
      </c>
      <c r="B10" s="107"/>
      <c r="C10" s="106">
        <v>9327</v>
      </c>
      <c r="D10" s="106">
        <v>10000</v>
      </c>
      <c r="E10" s="106">
        <v>0</v>
      </c>
      <c r="F10" s="740">
        <v>0</v>
      </c>
      <c r="G10" s="740">
        <f>3200*4</f>
        <v>12800</v>
      </c>
      <c r="H10" s="740"/>
    </row>
    <row r="11" spans="1:10" ht="18.95" customHeight="1" x14ac:dyDescent="0.3">
      <c r="A11" s="460"/>
      <c r="B11" s="107"/>
      <c r="C11" s="106"/>
      <c r="D11" s="106"/>
      <c r="E11" s="106"/>
      <c r="F11" s="740"/>
      <c r="G11" s="740"/>
      <c r="H11" s="740"/>
    </row>
    <row r="12" spans="1:10" ht="18.95" customHeight="1" x14ac:dyDescent="0.3">
      <c r="A12" s="517"/>
      <c r="B12" s="454"/>
      <c r="C12" s="800"/>
      <c r="D12" s="800"/>
      <c r="E12" s="800"/>
      <c r="F12" s="870"/>
      <c r="G12" s="870"/>
      <c r="H12" s="870"/>
    </row>
    <row r="13" spans="1:10" ht="18.95" customHeight="1" x14ac:dyDescent="0.3">
      <c r="A13" s="221" t="s">
        <v>128</v>
      </c>
      <c r="B13" s="871">
        <f>SUM(B4:B12)</f>
        <v>1450</v>
      </c>
      <c r="C13" s="871">
        <f>SUM(C4:C12)</f>
        <v>15027</v>
      </c>
      <c r="D13" s="871">
        <f>SUM(D4:D12)</f>
        <v>16000</v>
      </c>
      <c r="E13" s="871">
        <f>SUM(E5:E12)</f>
        <v>6600</v>
      </c>
      <c r="F13" s="872">
        <f>SUM(F5:F12)</f>
        <v>6025</v>
      </c>
      <c r="G13" s="872">
        <f>SUM(G5:G12)</f>
        <v>24025</v>
      </c>
      <c r="H13" s="872">
        <f>SUM(H5:H12)</f>
        <v>11225</v>
      </c>
    </row>
    <row r="14" spans="1:10" ht="18.75" customHeight="1" x14ac:dyDescent="0.3">
      <c r="A14" s="111"/>
    </row>
    <row r="15" spans="1:10" ht="18.75" customHeight="1" x14ac:dyDescent="0.3">
      <c r="A15" s="111"/>
    </row>
    <row r="17" spans="1:1" ht="18.75" customHeight="1" x14ac:dyDescent="0.3">
      <c r="A17" s="111"/>
    </row>
    <row r="18" spans="1:1" ht="18.75" customHeight="1" x14ac:dyDescent="0.3">
      <c r="A18" s="111"/>
    </row>
    <row r="19" spans="1:1" ht="18.75" customHeight="1" x14ac:dyDescent="0.3">
      <c r="A19" s="111"/>
    </row>
    <row r="20" spans="1:1" ht="18.75" customHeight="1" x14ac:dyDescent="0.3">
      <c r="A20" s="111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3"/>
  <sheetViews>
    <sheetView workbookViewId="0"/>
  </sheetViews>
  <sheetFormatPr defaultRowHeight="18.75" customHeight="1" x14ac:dyDescent="0.3"/>
  <cols>
    <col min="1" max="1" width="32.5703125" style="97" customWidth="1"/>
    <col min="2" max="4" width="10.7109375" style="27" hidden="1" customWidth="1"/>
    <col min="5" max="5" width="11" style="27" hidden="1" customWidth="1"/>
    <col min="6" max="8" width="11" style="27" customWidth="1"/>
    <col min="9" max="16384" width="9.140625" style="27"/>
  </cols>
  <sheetData>
    <row r="1" spans="1:8" s="46" customFormat="1" ht="18.75" customHeight="1" x14ac:dyDescent="0.3">
      <c r="A1" s="216" t="s">
        <v>541</v>
      </c>
      <c r="B1" s="190"/>
      <c r="C1" s="190"/>
      <c r="D1" s="190"/>
      <c r="E1" s="218"/>
      <c r="F1" s="218"/>
      <c r="G1" s="218"/>
      <c r="H1" s="218"/>
    </row>
    <row r="2" spans="1:8" ht="18.75" customHeight="1" x14ac:dyDescent="0.3">
      <c r="A2" s="98"/>
      <c r="B2" s="98"/>
      <c r="C2" s="98"/>
      <c r="D2" s="98"/>
      <c r="E2" s="49"/>
      <c r="F2" s="49"/>
      <c r="G2" s="49"/>
      <c r="H2" s="49"/>
    </row>
    <row r="3" spans="1:8" s="46" customFormat="1" ht="18.75" customHeight="1" x14ac:dyDescent="0.3">
      <c r="A3" s="41" t="s">
        <v>130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s="123" customFormat="1" ht="18.75" customHeight="1" x14ac:dyDescent="0.3">
      <c r="A4" s="101"/>
      <c r="B4" s="101"/>
      <c r="C4" s="222"/>
      <c r="D4" s="222"/>
      <c r="E4" s="222"/>
      <c r="F4" s="757"/>
      <c r="G4" s="757"/>
      <c r="H4" s="757"/>
    </row>
    <row r="5" spans="1:8" s="46" customFormat="1" ht="18.75" customHeight="1" x14ac:dyDescent="0.3">
      <c r="A5" s="38" t="s">
        <v>197</v>
      </c>
      <c r="B5" s="42">
        <v>400</v>
      </c>
      <c r="C5" s="36">
        <v>400</v>
      </c>
      <c r="D5" s="36">
        <v>400</v>
      </c>
      <c r="E5" s="36">
        <v>400</v>
      </c>
      <c r="F5" s="743">
        <v>500</v>
      </c>
      <c r="G5" s="743">
        <v>500</v>
      </c>
      <c r="H5" s="743">
        <v>500</v>
      </c>
    </row>
    <row r="6" spans="1:8" s="46" customFormat="1" ht="18.75" hidden="1" customHeight="1" x14ac:dyDescent="0.3">
      <c r="A6" s="38" t="s">
        <v>208</v>
      </c>
      <c r="B6" s="42">
        <v>200</v>
      </c>
      <c r="C6" s="36"/>
      <c r="D6" s="36"/>
      <c r="E6" s="36"/>
      <c r="F6" s="743"/>
      <c r="G6" s="743"/>
      <c r="H6" s="743"/>
    </row>
    <row r="7" spans="1:8" s="46" customFormat="1" ht="18.75" customHeight="1" x14ac:dyDescent="0.3">
      <c r="A7" s="257" t="s">
        <v>16</v>
      </c>
      <c r="B7" s="42">
        <v>200</v>
      </c>
      <c r="C7" s="62">
        <v>100</v>
      </c>
      <c r="D7" s="62">
        <v>100</v>
      </c>
      <c r="E7" s="62">
        <v>100</v>
      </c>
      <c r="F7" s="675">
        <v>150</v>
      </c>
      <c r="G7" s="675">
        <v>300</v>
      </c>
      <c r="H7" s="675">
        <v>300</v>
      </c>
    </row>
    <row r="8" spans="1:8" ht="18.75" customHeight="1" x14ac:dyDescent="0.3">
      <c r="A8" s="287"/>
      <c r="B8" s="54"/>
      <c r="C8" s="36"/>
      <c r="D8" s="36"/>
      <c r="E8" s="36"/>
      <c r="F8" s="743"/>
      <c r="G8" s="743"/>
      <c r="H8" s="743"/>
    </row>
    <row r="9" spans="1:8" ht="18.75" customHeight="1" thickBot="1" x14ac:dyDescent="0.35">
      <c r="A9" s="55"/>
      <c r="B9" s="204"/>
      <c r="C9" s="256"/>
      <c r="D9" s="256"/>
      <c r="E9" s="256"/>
      <c r="F9" s="758"/>
      <c r="G9" s="758"/>
      <c r="H9" s="758"/>
    </row>
    <row r="10" spans="1:8" ht="18.75" customHeight="1" thickTop="1" x14ac:dyDescent="0.3">
      <c r="A10" s="103" t="s">
        <v>128</v>
      </c>
      <c r="B10" s="44">
        <f t="shared" ref="B10:H10" si="0">SUM(B4:B9)</f>
        <v>800</v>
      </c>
      <c r="C10" s="44">
        <f t="shared" si="0"/>
        <v>500</v>
      </c>
      <c r="D10" s="223">
        <f t="shared" si="0"/>
        <v>500</v>
      </c>
      <c r="E10" s="223">
        <f t="shared" si="0"/>
        <v>500</v>
      </c>
      <c r="F10" s="759">
        <f t="shared" si="0"/>
        <v>650</v>
      </c>
      <c r="G10" s="759">
        <f t="shared" ref="G10" si="1">SUM(G4:G9)</f>
        <v>800</v>
      </c>
      <c r="H10" s="759">
        <f t="shared" si="0"/>
        <v>800</v>
      </c>
    </row>
    <row r="11" spans="1:8" ht="18.75" customHeight="1" x14ac:dyDescent="0.3">
      <c r="A11" s="111"/>
    </row>
    <row r="12" spans="1:8" s="46" customFormat="1" ht="18.75" customHeight="1" x14ac:dyDescent="0.3">
      <c r="A12" s="111"/>
    </row>
    <row r="13" spans="1:8" ht="18.75" customHeight="1" x14ac:dyDescent="0.3">
      <c r="A13" s="111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6"/>
  <sheetViews>
    <sheetView workbookViewId="0"/>
  </sheetViews>
  <sheetFormatPr defaultRowHeight="18.75" customHeight="1" x14ac:dyDescent="0.2"/>
  <cols>
    <col min="1" max="1" width="30.85546875" style="14" customWidth="1"/>
    <col min="2" max="4" width="11.7109375" style="96" hidden="1" customWidth="1"/>
    <col min="5" max="5" width="11.28515625" style="96" hidden="1" customWidth="1"/>
    <col min="6" max="8" width="11.28515625" style="96" customWidth="1"/>
    <col min="9" max="16384" width="9.140625" style="96"/>
  </cols>
  <sheetData>
    <row r="1" spans="1:18" s="182" customFormat="1" ht="18.75" customHeight="1" x14ac:dyDescent="0.3">
      <c r="A1" s="216" t="s">
        <v>232</v>
      </c>
      <c r="B1" s="190"/>
      <c r="C1" s="190"/>
      <c r="D1" s="190"/>
      <c r="E1" s="206"/>
      <c r="F1" s="206"/>
      <c r="G1" s="206"/>
      <c r="H1" s="20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18.75" customHeight="1" x14ac:dyDescent="0.3">
      <c r="A2" s="98"/>
      <c r="B2" s="98"/>
      <c r="C2" s="98"/>
      <c r="D2" s="98"/>
      <c r="E2" s="48"/>
      <c r="F2" s="48"/>
      <c r="G2" s="48"/>
      <c r="H2" s="48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18" s="182" customFormat="1" ht="18.75" customHeight="1" x14ac:dyDescent="0.3">
      <c r="A3" s="41" t="s">
        <v>130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1:18" s="183" customFormat="1" ht="18.75" customHeight="1" x14ac:dyDescent="0.3">
      <c r="A4" s="101"/>
      <c r="B4" s="101"/>
      <c r="C4" s="868"/>
      <c r="D4" s="868"/>
      <c r="E4" s="868"/>
      <c r="F4" s="737"/>
      <c r="G4" s="737"/>
      <c r="H4" s="737"/>
      <c r="I4" s="186"/>
      <c r="J4" s="186"/>
      <c r="K4" s="186"/>
      <c r="L4" s="186"/>
      <c r="M4" s="186"/>
      <c r="N4" s="186"/>
      <c r="O4" s="186"/>
      <c r="P4" s="186"/>
      <c r="Q4" s="186"/>
      <c r="R4" s="186"/>
    </row>
    <row r="5" spans="1:18" ht="18.75" customHeight="1" x14ac:dyDescent="0.3">
      <c r="A5" s="54" t="s">
        <v>507</v>
      </c>
      <c r="B5" s="42">
        <v>21000</v>
      </c>
      <c r="C5" s="62">
        <v>21000</v>
      </c>
      <c r="D5" s="62">
        <f>18963</f>
        <v>18963</v>
      </c>
      <c r="E5" s="62">
        <v>19600</v>
      </c>
      <c r="F5" s="676">
        <v>19086</v>
      </c>
      <c r="G5" s="676">
        <v>19500</v>
      </c>
      <c r="H5" s="676">
        <v>20900</v>
      </c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8.75" customHeight="1" x14ac:dyDescent="0.3">
      <c r="A6" s="288"/>
      <c r="B6" s="43"/>
      <c r="C6" s="107"/>
      <c r="D6" s="107"/>
      <c r="E6" s="107"/>
      <c r="F6" s="765"/>
      <c r="G6" s="765"/>
      <c r="H6" s="765"/>
      <c r="I6" s="186"/>
      <c r="J6" s="186"/>
      <c r="K6" s="186"/>
      <c r="L6" s="186"/>
      <c r="M6" s="186"/>
      <c r="N6" s="186"/>
      <c r="O6" s="186"/>
      <c r="P6" s="186"/>
      <c r="Q6" s="186"/>
      <c r="R6" s="186"/>
    </row>
    <row r="7" spans="1:18" ht="18.75" customHeight="1" thickBot="1" x14ac:dyDescent="0.35">
      <c r="A7" s="288"/>
      <c r="B7" s="43">
        <v>-1327</v>
      </c>
      <c r="C7" s="107"/>
      <c r="D7" s="107"/>
      <c r="E7" s="107"/>
      <c r="F7" s="765"/>
      <c r="G7" s="765"/>
      <c r="H7" s="765"/>
      <c r="I7" s="186"/>
      <c r="J7" s="186"/>
      <c r="K7" s="186"/>
      <c r="L7" s="186"/>
      <c r="M7" s="186"/>
      <c r="N7" s="186"/>
      <c r="O7" s="186"/>
      <c r="P7" s="186"/>
      <c r="Q7" s="186"/>
      <c r="R7" s="186"/>
    </row>
    <row r="8" spans="1:18" ht="18.75" customHeight="1" thickTop="1" x14ac:dyDescent="0.3">
      <c r="A8" s="113" t="s">
        <v>128</v>
      </c>
      <c r="B8" s="869">
        <f t="shared" ref="B8:D8" si="0">SUM(B4:B7)</f>
        <v>19673</v>
      </c>
      <c r="C8" s="112">
        <f t="shared" si="0"/>
        <v>21000</v>
      </c>
      <c r="D8" s="112">
        <f t="shared" si="0"/>
        <v>18963</v>
      </c>
      <c r="E8" s="112">
        <f>SUM(E4:E7)</f>
        <v>19600</v>
      </c>
      <c r="F8" s="766">
        <f>SUM(F4:F7)</f>
        <v>19086</v>
      </c>
      <c r="G8" s="766">
        <f>SUM(G4:G7)</f>
        <v>19500</v>
      </c>
      <c r="H8" s="766">
        <f>SUM(H4:H7)</f>
        <v>20900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18" ht="18.75" customHeight="1" x14ac:dyDescent="0.3">
      <c r="A9" s="111"/>
      <c r="B9" s="129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</row>
    <row r="10" spans="1:18" ht="18.75" customHeight="1" x14ac:dyDescent="0.3">
      <c r="A10" s="111"/>
      <c r="B10" s="27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</row>
    <row r="11" spans="1:18" ht="18.75" customHeight="1" x14ac:dyDescent="0.2">
      <c r="A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</row>
    <row r="12" spans="1:18" ht="18.75" customHeight="1" x14ac:dyDescent="0.2">
      <c r="A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</row>
    <row r="13" spans="1:18" ht="18.75" customHeigh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</row>
    <row r="14" spans="1:18" ht="18.75" customHeight="1" x14ac:dyDescent="0.2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</row>
    <row r="15" spans="1:18" ht="18.75" customHeight="1" x14ac:dyDescent="0.2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</row>
    <row r="16" spans="1:18" ht="18.75" customHeight="1" x14ac:dyDescent="0.2">
      <c r="A16" s="186"/>
      <c r="B16" s="186"/>
      <c r="C16" s="186"/>
      <c r="D16" s="186"/>
    </row>
    <row r="17" spans="1:4" ht="18.75" customHeight="1" x14ac:dyDescent="0.2">
      <c r="A17" s="186"/>
      <c r="B17" s="186"/>
      <c r="C17" s="186"/>
      <c r="D17" s="186"/>
    </row>
    <row r="18" spans="1:4" ht="18.75" customHeight="1" x14ac:dyDescent="0.2">
      <c r="A18" s="186"/>
      <c r="B18" s="186"/>
      <c r="C18" s="186"/>
      <c r="D18" s="186"/>
    </row>
    <row r="19" spans="1:4" ht="18.75" customHeight="1" x14ac:dyDescent="0.2">
      <c r="A19" s="186"/>
      <c r="B19" s="186"/>
      <c r="C19" s="186"/>
      <c r="D19" s="186"/>
    </row>
    <row r="20" spans="1:4" ht="18.75" customHeight="1" x14ac:dyDescent="0.2">
      <c r="A20" s="186"/>
      <c r="B20" s="186"/>
      <c r="C20" s="186"/>
      <c r="D20" s="186"/>
    </row>
    <row r="21" spans="1:4" ht="18.75" customHeight="1" x14ac:dyDescent="0.2">
      <c r="A21" s="186"/>
      <c r="B21" s="186"/>
      <c r="C21" s="186"/>
      <c r="D21" s="186"/>
    </row>
    <row r="22" spans="1:4" ht="18.75" customHeight="1" x14ac:dyDescent="0.2">
      <c r="A22" s="186"/>
      <c r="B22" s="186"/>
      <c r="C22" s="186"/>
      <c r="D22" s="186"/>
    </row>
    <row r="23" spans="1:4" ht="18.75" customHeight="1" x14ac:dyDescent="0.2">
      <c r="A23" s="186"/>
      <c r="B23" s="186"/>
      <c r="C23" s="186"/>
      <c r="D23" s="186"/>
    </row>
    <row r="24" spans="1:4" ht="18.75" customHeight="1" x14ac:dyDescent="0.2">
      <c r="A24" s="186"/>
      <c r="B24" s="186"/>
      <c r="C24" s="186"/>
      <c r="D24" s="186"/>
    </row>
    <row r="25" spans="1:4" ht="18.75" customHeight="1" x14ac:dyDescent="0.2">
      <c r="A25" s="186"/>
      <c r="B25" s="186"/>
      <c r="C25" s="186"/>
      <c r="D25" s="186"/>
    </row>
    <row r="26" spans="1:4" ht="18.75" customHeight="1" x14ac:dyDescent="0.2">
      <c r="A26" s="186"/>
      <c r="B26" s="186"/>
      <c r="C26" s="186"/>
      <c r="D26" s="186"/>
    </row>
    <row r="27" spans="1:4" ht="18.75" customHeight="1" x14ac:dyDescent="0.2">
      <c r="A27" s="186"/>
      <c r="B27" s="186"/>
      <c r="C27" s="186"/>
      <c r="D27" s="186"/>
    </row>
    <row r="28" spans="1:4" ht="18.75" customHeight="1" x14ac:dyDescent="0.2">
      <c r="A28" s="186"/>
      <c r="B28" s="186"/>
      <c r="C28" s="186"/>
      <c r="D28" s="186"/>
    </row>
    <row r="29" spans="1:4" ht="18.75" customHeight="1" x14ac:dyDescent="0.2">
      <c r="A29" s="186"/>
      <c r="B29" s="186"/>
      <c r="C29" s="186"/>
      <c r="D29" s="186"/>
    </row>
    <row r="30" spans="1:4" ht="18.75" customHeight="1" x14ac:dyDescent="0.2">
      <c r="A30" s="186"/>
      <c r="B30" s="186"/>
      <c r="C30" s="186"/>
      <c r="D30" s="186"/>
    </row>
    <row r="31" spans="1:4" ht="18.75" customHeight="1" x14ac:dyDescent="0.2">
      <c r="A31" s="186"/>
      <c r="B31" s="186"/>
      <c r="C31" s="186"/>
      <c r="D31" s="186"/>
    </row>
    <row r="32" spans="1:4" ht="18.75" customHeight="1" x14ac:dyDescent="0.2">
      <c r="A32" s="186"/>
      <c r="B32" s="186"/>
      <c r="C32" s="186"/>
      <c r="D32" s="186"/>
    </row>
    <row r="33" spans="1:4" ht="18.75" customHeight="1" x14ac:dyDescent="0.2">
      <c r="A33" s="186"/>
      <c r="B33" s="186"/>
      <c r="C33" s="186"/>
      <c r="D33" s="186"/>
    </row>
    <row r="34" spans="1:4" ht="18.75" customHeight="1" x14ac:dyDescent="0.2">
      <c r="A34" s="186"/>
      <c r="B34" s="186"/>
      <c r="C34" s="186"/>
      <c r="D34" s="186"/>
    </row>
    <row r="35" spans="1:4" ht="18.75" customHeight="1" x14ac:dyDescent="0.2">
      <c r="A35" s="186"/>
      <c r="B35" s="186"/>
      <c r="C35" s="186"/>
      <c r="D35" s="186"/>
    </row>
    <row r="36" spans="1:4" ht="18.75" customHeight="1" x14ac:dyDescent="0.2">
      <c r="A36" s="186"/>
      <c r="B36" s="186"/>
      <c r="C36" s="186"/>
      <c r="D36" s="186"/>
    </row>
    <row r="37" spans="1:4" ht="18.75" customHeight="1" x14ac:dyDescent="0.2">
      <c r="A37" s="186"/>
      <c r="B37" s="186"/>
      <c r="C37" s="186"/>
      <c r="D37" s="186"/>
    </row>
    <row r="38" spans="1:4" ht="18.75" customHeight="1" x14ac:dyDescent="0.2">
      <c r="A38" s="186"/>
      <c r="B38" s="186"/>
      <c r="C38" s="186"/>
      <c r="D38" s="186"/>
    </row>
    <row r="39" spans="1:4" ht="18.75" customHeight="1" x14ac:dyDescent="0.2">
      <c r="A39" s="186"/>
      <c r="B39" s="186"/>
      <c r="C39" s="186"/>
      <c r="D39" s="186"/>
    </row>
    <row r="40" spans="1:4" ht="18.75" customHeight="1" x14ac:dyDescent="0.2">
      <c r="A40" s="186"/>
      <c r="B40" s="186"/>
      <c r="C40" s="186"/>
      <c r="D40" s="186"/>
    </row>
    <row r="41" spans="1:4" ht="18.75" customHeight="1" x14ac:dyDescent="0.2">
      <c r="A41" s="186"/>
      <c r="B41" s="186"/>
      <c r="C41" s="186"/>
      <c r="D41" s="186"/>
    </row>
    <row r="42" spans="1:4" ht="18.75" customHeight="1" x14ac:dyDescent="0.2">
      <c r="A42" s="186"/>
      <c r="B42" s="186"/>
      <c r="C42" s="186"/>
      <c r="D42" s="186"/>
    </row>
    <row r="43" spans="1:4" ht="18.75" customHeight="1" x14ac:dyDescent="0.2">
      <c r="A43" s="186"/>
      <c r="B43" s="186"/>
      <c r="C43" s="186"/>
      <c r="D43" s="186"/>
    </row>
    <row r="44" spans="1:4" ht="18.75" customHeight="1" x14ac:dyDescent="0.2">
      <c r="A44" s="186"/>
      <c r="B44" s="186"/>
      <c r="C44" s="186"/>
      <c r="D44" s="186"/>
    </row>
    <row r="45" spans="1:4" ht="18.75" customHeight="1" x14ac:dyDescent="0.2">
      <c r="A45" s="186"/>
      <c r="B45" s="186"/>
      <c r="C45" s="186"/>
      <c r="D45" s="186"/>
    </row>
    <row r="46" spans="1:4" ht="18.75" customHeight="1" x14ac:dyDescent="0.2">
      <c r="A46" s="186"/>
      <c r="B46" s="186"/>
      <c r="C46" s="186"/>
      <c r="D46" s="186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5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 x14ac:dyDescent="0.2"/>
  <cols>
    <col min="1" max="1" width="44.140625" style="229" bestFit="1" customWidth="1"/>
    <col min="2" max="2" width="11.5703125" style="229" hidden="1" customWidth="1"/>
    <col min="3" max="4" width="10.7109375" style="229" hidden="1" customWidth="1"/>
    <col min="5" max="5" width="12.7109375" style="229" hidden="1" customWidth="1"/>
    <col min="6" max="8" width="12.7109375" style="229" customWidth="1"/>
    <col min="9" max="16384" width="8.85546875" style="229"/>
  </cols>
  <sheetData>
    <row r="1" spans="1:8" s="225" customFormat="1" ht="22.5" customHeight="1" x14ac:dyDescent="0.2">
      <c r="A1" s="672" t="s">
        <v>557</v>
      </c>
      <c r="B1" s="224"/>
      <c r="C1" s="224"/>
      <c r="D1" s="224"/>
      <c r="E1" s="224"/>
      <c r="F1" s="224"/>
      <c r="G1" s="224"/>
      <c r="H1" s="224"/>
    </row>
    <row r="2" spans="1:8" s="227" customFormat="1" ht="25.5" customHeight="1" x14ac:dyDescent="0.2">
      <c r="A2" s="226"/>
      <c r="B2" s="425">
        <v>2010</v>
      </c>
      <c r="C2" s="425">
        <v>2013</v>
      </c>
      <c r="D2" s="647">
        <v>2014</v>
      </c>
      <c r="E2" s="647">
        <v>2015</v>
      </c>
      <c r="F2" s="647">
        <v>2016</v>
      </c>
      <c r="G2" s="647">
        <v>2017</v>
      </c>
      <c r="H2" s="647">
        <v>2018</v>
      </c>
    </row>
    <row r="3" spans="1:8" s="228" customFormat="1" x14ac:dyDescent="0.2">
      <c r="A3" s="481" t="s">
        <v>130</v>
      </c>
      <c r="B3" s="482"/>
      <c r="C3" s="482"/>
      <c r="D3" s="483"/>
      <c r="E3" s="483"/>
      <c r="F3" s="483"/>
      <c r="G3" s="483"/>
      <c r="H3" s="483"/>
    </row>
    <row r="4" spans="1:8" hidden="1" x14ac:dyDescent="0.2">
      <c r="A4" s="484" t="s">
        <v>224</v>
      </c>
      <c r="B4" s="485">
        <v>300</v>
      </c>
      <c r="C4" s="486">
        <v>275</v>
      </c>
      <c r="D4" s="486">
        <v>600</v>
      </c>
      <c r="E4" s="486" t="s">
        <v>556</v>
      </c>
      <c r="F4" s="486" t="s">
        <v>556</v>
      </c>
      <c r="G4" s="486" t="s">
        <v>556</v>
      </c>
      <c r="H4" s="486" t="s">
        <v>556</v>
      </c>
    </row>
    <row r="5" spans="1:8" hidden="1" x14ac:dyDescent="0.2">
      <c r="A5" s="484" t="s">
        <v>225</v>
      </c>
      <c r="B5" s="485">
        <v>250</v>
      </c>
      <c r="C5" s="486">
        <v>500</v>
      </c>
      <c r="D5" s="486">
        <v>800</v>
      </c>
      <c r="E5" s="486" t="s">
        <v>556</v>
      </c>
      <c r="F5" s="486" t="s">
        <v>556</v>
      </c>
      <c r="G5" s="486" t="s">
        <v>556</v>
      </c>
      <c r="H5" s="486" t="s">
        <v>556</v>
      </c>
    </row>
    <row r="6" spans="1:8" x14ac:dyDescent="0.2">
      <c r="A6" s="484" t="s">
        <v>306</v>
      </c>
      <c r="B6" s="485">
        <v>1000</v>
      </c>
      <c r="C6" s="486">
        <v>3000</v>
      </c>
      <c r="D6" s="486">
        <v>5000</v>
      </c>
      <c r="E6" s="486">
        <v>4000</v>
      </c>
      <c r="F6" s="761">
        <v>3500</v>
      </c>
      <c r="G6" s="761">
        <v>3500</v>
      </c>
      <c r="H6" s="761">
        <v>3500</v>
      </c>
    </row>
    <row r="7" spans="1:8" hidden="1" x14ac:dyDescent="0.2">
      <c r="A7" s="484" t="s">
        <v>101</v>
      </c>
      <c r="B7" s="485"/>
      <c r="C7" s="486">
        <v>500</v>
      </c>
      <c r="D7" s="486">
        <v>1000</v>
      </c>
      <c r="E7" s="486" t="s">
        <v>550</v>
      </c>
      <c r="F7" s="761" t="s">
        <v>550</v>
      </c>
      <c r="G7" s="761"/>
      <c r="H7" s="761"/>
    </row>
    <row r="8" spans="1:8" hidden="1" x14ac:dyDescent="0.2">
      <c r="A8" s="484" t="s">
        <v>102</v>
      </c>
      <c r="B8" s="485">
        <v>1000</v>
      </c>
      <c r="C8" s="486">
        <v>400</v>
      </c>
      <c r="D8" s="486">
        <v>1000</v>
      </c>
      <c r="E8" s="486" t="s">
        <v>550</v>
      </c>
      <c r="F8" s="761" t="s">
        <v>550</v>
      </c>
      <c r="G8" s="761"/>
      <c r="H8" s="761"/>
    </row>
    <row r="9" spans="1:8" hidden="1" x14ac:dyDescent="0.2">
      <c r="A9" s="484" t="s">
        <v>305</v>
      </c>
      <c r="B9" s="485">
        <v>1800</v>
      </c>
      <c r="C9" s="486">
        <v>2400</v>
      </c>
      <c r="D9" s="486">
        <v>2100</v>
      </c>
      <c r="E9" s="487" t="s">
        <v>552</v>
      </c>
      <c r="F9" s="762" t="s">
        <v>552</v>
      </c>
      <c r="G9" s="762"/>
      <c r="H9" s="762"/>
    </row>
    <row r="10" spans="1:8" hidden="1" x14ac:dyDescent="0.2">
      <c r="A10" s="484" t="s">
        <v>304</v>
      </c>
      <c r="B10" s="485">
        <v>2440</v>
      </c>
      <c r="C10" s="486">
        <v>450</v>
      </c>
      <c r="D10" s="486">
        <v>700</v>
      </c>
      <c r="E10" s="486" t="s">
        <v>550</v>
      </c>
      <c r="F10" s="761" t="s">
        <v>550</v>
      </c>
      <c r="G10" s="761"/>
      <c r="H10" s="761"/>
    </row>
    <row r="11" spans="1:8" hidden="1" x14ac:dyDescent="0.2">
      <c r="A11" s="484" t="s">
        <v>460</v>
      </c>
      <c r="B11" s="485"/>
      <c r="C11" s="486">
        <v>850</v>
      </c>
      <c r="D11" s="486">
        <v>850</v>
      </c>
      <c r="E11" s="486" t="s">
        <v>554</v>
      </c>
      <c r="F11" s="761" t="s">
        <v>554</v>
      </c>
      <c r="G11" s="761"/>
      <c r="H11" s="761"/>
    </row>
    <row r="12" spans="1:8" hidden="1" x14ac:dyDescent="0.2">
      <c r="A12" s="484" t="s">
        <v>307</v>
      </c>
      <c r="B12" s="485">
        <v>2040</v>
      </c>
      <c r="C12" s="486"/>
      <c r="D12" s="486">
        <v>1000</v>
      </c>
      <c r="E12" s="486" t="s">
        <v>550</v>
      </c>
      <c r="F12" s="761" t="s">
        <v>550</v>
      </c>
      <c r="G12" s="761"/>
      <c r="H12" s="761"/>
    </row>
    <row r="13" spans="1:8" hidden="1" x14ac:dyDescent="0.2">
      <c r="A13" s="484" t="s">
        <v>359</v>
      </c>
      <c r="B13" s="485">
        <v>2280</v>
      </c>
      <c r="C13" s="486"/>
      <c r="D13" s="486">
        <v>1000</v>
      </c>
      <c r="E13" s="486" t="s">
        <v>550</v>
      </c>
      <c r="F13" s="761" t="s">
        <v>550</v>
      </c>
      <c r="G13" s="761"/>
      <c r="H13" s="761"/>
    </row>
    <row r="14" spans="1:8" hidden="1" x14ac:dyDescent="0.2">
      <c r="A14" s="484" t="s">
        <v>310</v>
      </c>
      <c r="B14" s="485">
        <v>3200</v>
      </c>
      <c r="C14" s="486">
        <v>1500</v>
      </c>
      <c r="D14" s="486">
        <v>1200</v>
      </c>
      <c r="E14" s="486" t="s">
        <v>556</v>
      </c>
      <c r="F14" s="761" t="s">
        <v>556</v>
      </c>
      <c r="G14" s="761"/>
      <c r="H14" s="761"/>
    </row>
    <row r="15" spans="1:8" x14ac:dyDescent="0.2">
      <c r="A15" s="484" t="s">
        <v>309</v>
      </c>
      <c r="B15" s="485">
        <v>4000</v>
      </c>
      <c r="C15" s="486">
        <v>4000</v>
      </c>
      <c r="D15" s="486">
        <v>4500</v>
      </c>
      <c r="E15" s="486">
        <v>4500</v>
      </c>
      <c r="F15" s="761">
        <v>5000</v>
      </c>
      <c r="G15" s="761">
        <v>6000</v>
      </c>
      <c r="H15" s="761">
        <v>8000</v>
      </c>
    </row>
    <row r="16" spans="1:8" hidden="1" x14ac:dyDescent="0.2">
      <c r="A16" s="484" t="s">
        <v>311</v>
      </c>
      <c r="B16" s="485">
        <v>1500</v>
      </c>
      <c r="C16" s="486"/>
      <c r="D16" s="486">
        <v>600</v>
      </c>
      <c r="E16" s="486" t="s">
        <v>554</v>
      </c>
      <c r="F16" s="761" t="s">
        <v>554</v>
      </c>
      <c r="G16" s="761"/>
      <c r="H16" s="761"/>
    </row>
    <row r="17" spans="1:8" x14ac:dyDescent="0.2">
      <c r="A17" s="484" t="s">
        <v>308</v>
      </c>
      <c r="B17" s="485">
        <v>3000</v>
      </c>
      <c r="C17" s="486">
        <v>3000</v>
      </c>
      <c r="D17" s="486">
        <f>3000-1235</f>
        <v>1765</v>
      </c>
      <c r="E17" s="486">
        <v>3000</v>
      </c>
      <c r="F17" s="761">
        <v>3000</v>
      </c>
      <c r="G17" s="761">
        <v>4500</v>
      </c>
      <c r="H17" s="761">
        <v>4500</v>
      </c>
    </row>
    <row r="18" spans="1:8" hidden="1" x14ac:dyDescent="0.2">
      <c r="A18" s="484" t="s">
        <v>380</v>
      </c>
      <c r="B18" s="485">
        <v>1400</v>
      </c>
      <c r="C18" s="486">
        <v>4500</v>
      </c>
      <c r="D18" s="486">
        <v>3000</v>
      </c>
      <c r="E18" s="487" t="s">
        <v>552</v>
      </c>
      <c r="F18" s="762" t="s">
        <v>552</v>
      </c>
      <c r="G18" s="762"/>
      <c r="H18" s="762"/>
    </row>
    <row r="19" spans="1:8" hidden="1" x14ac:dyDescent="0.2">
      <c r="A19" s="484" t="s">
        <v>548</v>
      </c>
      <c r="B19" s="485">
        <v>1400</v>
      </c>
      <c r="C19" s="487">
        <v>3000</v>
      </c>
      <c r="D19" s="487">
        <v>1500</v>
      </c>
      <c r="E19" s="487" t="s">
        <v>552</v>
      </c>
      <c r="F19" s="762" t="s">
        <v>552</v>
      </c>
      <c r="G19" s="762"/>
      <c r="H19" s="762"/>
    </row>
    <row r="20" spans="1:8" hidden="1" x14ac:dyDescent="0.2">
      <c r="A20" s="484" t="s">
        <v>381</v>
      </c>
      <c r="B20" s="485"/>
      <c r="C20" s="487">
        <v>2500</v>
      </c>
      <c r="D20" s="487">
        <v>2500</v>
      </c>
      <c r="E20" s="487" t="s">
        <v>552</v>
      </c>
      <c r="F20" s="762" t="s">
        <v>552</v>
      </c>
      <c r="G20" s="762"/>
      <c r="H20" s="762"/>
    </row>
    <row r="21" spans="1:8" hidden="1" x14ac:dyDescent="0.2">
      <c r="A21" s="484" t="s">
        <v>382</v>
      </c>
      <c r="B21" s="485"/>
      <c r="C21" s="487">
        <v>4000</v>
      </c>
      <c r="D21" s="487">
        <v>4000</v>
      </c>
      <c r="E21" s="487" t="s">
        <v>552</v>
      </c>
      <c r="F21" s="762" t="s">
        <v>552</v>
      </c>
      <c r="G21" s="762"/>
      <c r="H21" s="762"/>
    </row>
    <row r="22" spans="1:8" x14ac:dyDescent="0.2">
      <c r="A22" s="484" t="s">
        <v>383</v>
      </c>
      <c r="B22" s="488"/>
      <c r="C22" s="486">
        <v>4500</v>
      </c>
      <c r="D22" s="486">
        <v>3000</v>
      </c>
      <c r="E22" s="487">
        <v>2500</v>
      </c>
      <c r="F22" s="762">
        <v>2500</v>
      </c>
      <c r="G22" s="762">
        <v>2500</v>
      </c>
      <c r="H22" s="762">
        <v>2500</v>
      </c>
    </row>
    <row r="23" spans="1:8" x14ac:dyDescent="0.2">
      <c r="A23" s="518" t="s">
        <v>549</v>
      </c>
      <c r="B23" s="485"/>
      <c r="C23" s="486">
        <v>900</v>
      </c>
      <c r="D23" s="486">
        <v>1500</v>
      </c>
      <c r="E23" s="486">
        <v>1500</v>
      </c>
      <c r="F23" s="761">
        <v>1500</v>
      </c>
      <c r="G23" s="761">
        <v>2500</v>
      </c>
      <c r="H23" s="761">
        <v>2500</v>
      </c>
    </row>
    <row r="24" spans="1:8" x14ac:dyDescent="0.2">
      <c r="A24" s="518" t="s">
        <v>609</v>
      </c>
      <c r="B24" s="485"/>
      <c r="C24" s="486"/>
      <c r="D24" s="486">
        <v>3000</v>
      </c>
      <c r="E24" s="486">
        <v>20000</v>
      </c>
      <c r="F24" s="761">
        <v>35000</v>
      </c>
      <c r="G24" s="761">
        <v>40000</v>
      </c>
      <c r="H24" s="761">
        <v>40000</v>
      </c>
    </row>
    <row r="25" spans="1:8" x14ac:dyDescent="0.2">
      <c r="A25" s="518" t="s">
        <v>547</v>
      </c>
      <c r="B25" s="485"/>
      <c r="C25" s="486"/>
      <c r="D25" s="486"/>
      <c r="E25" s="486">
        <v>4700</v>
      </c>
      <c r="F25" s="761">
        <v>2500</v>
      </c>
      <c r="G25" s="761">
        <v>1500</v>
      </c>
      <c r="H25" s="761">
        <v>1500</v>
      </c>
    </row>
    <row r="26" spans="1:8" x14ac:dyDescent="0.2">
      <c r="A26" s="518" t="s">
        <v>551</v>
      </c>
      <c r="B26" s="485"/>
      <c r="C26" s="486"/>
      <c r="D26" s="486"/>
      <c r="E26" s="486">
        <v>13100</v>
      </c>
      <c r="F26" s="761">
        <v>11000</v>
      </c>
      <c r="G26" s="761">
        <v>11000</v>
      </c>
      <c r="H26" s="761">
        <v>11000</v>
      </c>
    </row>
    <row r="27" spans="1:8" x14ac:dyDescent="0.2">
      <c r="A27" s="518" t="s">
        <v>553</v>
      </c>
      <c r="B27" s="485"/>
      <c r="C27" s="486"/>
      <c r="D27" s="486"/>
      <c r="E27" s="486">
        <v>1450</v>
      </c>
      <c r="F27" s="761">
        <f>(40*25)+600</f>
        <v>1600</v>
      </c>
      <c r="G27" s="761">
        <v>2000</v>
      </c>
      <c r="H27" s="761">
        <v>2000</v>
      </c>
    </row>
    <row r="28" spans="1:8" x14ac:dyDescent="0.2">
      <c r="A28" s="518" t="s">
        <v>555</v>
      </c>
      <c r="B28" s="485"/>
      <c r="C28" s="486"/>
      <c r="D28" s="486"/>
      <c r="E28" s="486">
        <v>3900</v>
      </c>
      <c r="F28" s="761">
        <v>5000</v>
      </c>
      <c r="G28" s="761">
        <v>5000</v>
      </c>
      <c r="H28" s="761">
        <v>7000</v>
      </c>
    </row>
    <row r="29" spans="1:8" x14ac:dyDescent="0.2">
      <c r="A29" s="518" t="s">
        <v>612</v>
      </c>
      <c r="B29" s="485"/>
      <c r="C29" s="486"/>
      <c r="D29" s="486"/>
      <c r="E29" s="486"/>
      <c r="F29" s="761">
        <v>2800</v>
      </c>
      <c r="G29" s="761">
        <v>0</v>
      </c>
      <c r="H29" s="761">
        <v>0</v>
      </c>
    </row>
    <row r="30" spans="1:8" x14ac:dyDescent="0.2">
      <c r="A30" s="518" t="s">
        <v>672</v>
      </c>
      <c r="B30" s="485"/>
      <c r="C30" s="486"/>
      <c r="D30" s="486"/>
      <c r="E30" s="486"/>
      <c r="F30" s="761">
        <v>0</v>
      </c>
      <c r="G30" s="761">
        <v>6000</v>
      </c>
      <c r="H30" s="761">
        <v>7000</v>
      </c>
    </row>
    <row r="31" spans="1:8" x14ac:dyDescent="0.2">
      <c r="A31" s="518" t="s">
        <v>717</v>
      </c>
      <c r="B31" s="485"/>
      <c r="C31" s="486"/>
      <c r="D31" s="486"/>
      <c r="E31" s="486"/>
      <c r="F31" s="761">
        <v>0</v>
      </c>
      <c r="G31" s="761">
        <v>0</v>
      </c>
      <c r="H31" s="761">
        <f>6500+1250+275</f>
        <v>8025</v>
      </c>
    </row>
    <row r="32" spans="1:8" x14ac:dyDescent="0.2">
      <c r="A32" s="518" t="s">
        <v>747</v>
      </c>
      <c r="B32" s="485"/>
      <c r="C32" s="486"/>
      <c r="D32" s="486"/>
      <c r="E32" s="486"/>
      <c r="F32" s="761"/>
      <c r="G32" s="761"/>
      <c r="H32" s="761">
        <v>10000</v>
      </c>
    </row>
    <row r="33" spans="1:8" x14ac:dyDescent="0.2">
      <c r="A33" s="518"/>
      <c r="B33" s="485">
        <v>-22000</v>
      </c>
      <c r="C33" s="486"/>
      <c r="D33" s="486"/>
      <c r="E33" s="486"/>
      <c r="F33" s="761"/>
      <c r="G33" s="761"/>
      <c r="H33" s="761"/>
    </row>
    <row r="34" spans="1:8" ht="17.25" thickBot="1" x14ac:dyDescent="0.25">
      <c r="A34" s="498" t="s">
        <v>128</v>
      </c>
      <c r="B34" s="866">
        <f t="shared" ref="B34:H34" si="0">SUM(B4:B33)</f>
        <v>3610</v>
      </c>
      <c r="C34" s="866">
        <f t="shared" si="0"/>
        <v>36275</v>
      </c>
      <c r="D34" s="866">
        <f t="shared" si="0"/>
        <v>40615</v>
      </c>
      <c r="E34" s="866">
        <f t="shared" si="0"/>
        <v>58650</v>
      </c>
      <c r="F34" s="867">
        <f t="shared" si="0"/>
        <v>73400</v>
      </c>
      <c r="G34" s="867">
        <f t="shared" ref="G34" si="1">SUM(G4:G33)</f>
        <v>84500</v>
      </c>
      <c r="H34" s="867">
        <f t="shared" si="0"/>
        <v>107525</v>
      </c>
    </row>
    <row r="35" spans="1:8" ht="17.25" thickTop="1" x14ac:dyDescent="0.2"/>
  </sheetData>
  <sortState ref="A30:E50">
    <sortCondition ref="A30:A50"/>
  </sortState>
  <phoneticPr fontId="19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workbookViewId="0">
      <pane ySplit="2" topLeftCell="A3" activePane="bottomLeft" state="frozen"/>
      <selection pane="bottomLeft"/>
    </sheetView>
  </sheetViews>
  <sheetFormatPr defaultColWidth="11.140625" defaultRowHeight="18.75" customHeight="1" x14ac:dyDescent="0.3"/>
  <cols>
    <col min="1" max="1" width="6.5703125" style="97" customWidth="1"/>
    <col min="2" max="2" width="54.7109375" style="60" bestFit="1" customWidth="1"/>
    <col min="3" max="6" width="12" style="26" hidden="1" customWidth="1"/>
    <col min="7" max="7" width="12" style="26" customWidth="1"/>
    <col min="8" max="8" width="12.85546875" style="26" customWidth="1"/>
    <col min="9" max="9" width="13.140625" style="26" bestFit="1" customWidth="1"/>
    <col min="10" max="10" width="13.42578125" style="26" bestFit="1" customWidth="1"/>
    <col min="11" max="11" width="11.140625" style="26"/>
    <col min="12" max="12" width="12.85546875" style="26" bestFit="1" customWidth="1"/>
    <col min="13" max="16384" width="11.140625" style="26"/>
  </cols>
  <sheetData>
    <row r="1" spans="1:12" s="93" customFormat="1" ht="18.75" customHeight="1" x14ac:dyDescent="0.3">
      <c r="A1" s="506"/>
      <c r="B1" s="507" t="s">
        <v>510</v>
      </c>
      <c r="C1" s="507" t="s">
        <v>463</v>
      </c>
      <c r="D1" s="507" t="s">
        <v>464</v>
      </c>
      <c r="E1" s="507"/>
      <c r="F1" s="507"/>
      <c r="G1" s="507"/>
      <c r="H1" s="507"/>
      <c r="I1" s="507"/>
    </row>
    <row r="2" spans="1:12" s="93" customFormat="1" ht="18.75" customHeight="1" x14ac:dyDescent="0.3">
      <c r="A2" s="896"/>
      <c r="B2" s="897" t="s">
        <v>130</v>
      </c>
      <c r="C2" s="898">
        <v>2010</v>
      </c>
      <c r="D2" s="898">
        <v>2013</v>
      </c>
      <c r="E2" s="899">
        <v>2014</v>
      </c>
      <c r="F2" s="899">
        <v>2015</v>
      </c>
      <c r="G2" s="899">
        <v>2016</v>
      </c>
      <c r="H2" s="899">
        <v>2017</v>
      </c>
      <c r="I2" s="899">
        <v>2018</v>
      </c>
    </row>
    <row r="3" spans="1:12" s="253" customFormat="1" ht="24.95" customHeight="1" x14ac:dyDescent="0.3">
      <c r="A3" s="126">
        <v>407</v>
      </c>
      <c r="B3" s="34" t="s">
        <v>211</v>
      </c>
      <c r="C3" s="900">
        <v>6797.47</v>
      </c>
      <c r="D3" s="901">
        <v>7500</v>
      </c>
      <c r="E3" s="902">
        <v>15200</v>
      </c>
      <c r="F3" s="902">
        <v>11100</v>
      </c>
      <c r="G3" s="902">
        <v>8700</v>
      </c>
      <c r="H3" s="902">
        <f>4050*2</f>
        <v>8100</v>
      </c>
      <c r="I3" s="902">
        <f>4050*2</f>
        <v>8100</v>
      </c>
      <c r="J3" s="681"/>
    </row>
    <row r="4" spans="1:12" s="93" customFormat="1" ht="31.5" customHeight="1" x14ac:dyDescent="0.3">
      <c r="A4" s="126" t="s">
        <v>91</v>
      </c>
      <c r="B4" s="903" t="s">
        <v>337</v>
      </c>
      <c r="C4" s="845">
        <v>2079268.31</v>
      </c>
      <c r="D4" s="904">
        <v>2024884</v>
      </c>
      <c r="E4" s="829">
        <v>2073137</v>
      </c>
      <c r="F4" s="829">
        <v>2140914</v>
      </c>
      <c r="G4" s="829">
        <f>25855208.63*0.09</f>
        <v>2326968.7766999998</v>
      </c>
      <c r="H4" s="829">
        <f>28818430.97*0.1</f>
        <v>2881843.0970000001</v>
      </c>
      <c r="I4" s="829">
        <f>30191851.95*0.1</f>
        <v>3019185.1950000003</v>
      </c>
      <c r="J4" s="981">
        <f>I4+I5+I6</f>
        <v>3019185.1950000003</v>
      </c>
    </row>
    <row r="5" spans="1:12" s="93" customFormat="1" ht="24.95" customHeight="1" x14ac:dyDescent="0.3">
      <c r="A5" s="126" t="s">
        <v>92</v>
      </c>
      <c r="B5" s="34" t="s">
        <v>94</v>
      </c>
      <c r="C5" s="675">
        <v>17084.2</v>
      </c>
      <c r="D5" s="905">
        <v>10175</v>
      </c>
      <c r="E5" s="676"/>
      <c r="F5" s="676"/>
      <c r="G5" s="676"/>
      <c r="H5" s="676"/>
      <c r="I5" s="676"/>
      <c r="J5" s="982"/>
    </row>
    <row r="6" spans="1:12" s="93" customFormat="1" ht="24.95" customHeight="1" x14ac:dyDescent="0.3">
      <c r="A6" s="126" t="s">
        <v>93</v>
      </c>
      <c r="B6" s="34" t="s">
        <v>84</v>
      </c>
      <c r="C6" s="677">
        <v>384.14</v>
      </c>
      <c r="D6" s="906"/>
      <c r="E6" s="678"/>
      <c r="F6" s="678"/>
      <c r="G6" s="678"/>
      <c r="H6" s="678"/>
      <c r="I6" s="678"/>
      <c r="J6" s="983"/>
    </row>
    <row r="7" spans="1:12" s="93" customFormat="1" ht="24.95" customHeight="1" x14ac:dyDescent="0.3">
      <c r="A7" s="126">
        <v>415</v>
      </c>
      <c r="B7" s="34" t="s">
        <v>95</v>
      </c>
      <c r="C7" s="900">
        <v>1593158.56</v>
      </c>
      <c r="D7" s="907">
        <v>1644578</v>
      </c>
      <c r="E7" s="902">
        <v>1685692</v>
      </c>
      <c r="F7" s="902">
        <v>2187099</v>
      </c>
      <c r="G7" s="902">
        <f>2191383+200000</f>
        <v>2391383</v>
      </c>
      <c r="H7" s="902">
        <f>G7*1.04</f>
        <v>2487038.3200000003</v>
      </c>
      <c r="I7" s="902">
        <f>H7*1.045</f>
        <v>2598955.0444</v>
      </c>
      <c r="J7" s="682"/>
      <c r="L7" s="671"/>
    </row>
    <row r="8" spans="1:12" s="93" customFormat="1" ht="24.95" customHeight="1" x14ac:dyDescent="0.3">
      <c r="A8" s="126">
        <v>435</v>
      </c>
      <c r="B8" s="34" t="s">
        <v>85</v>
      </c>
      <c r="C8" s="845">
        <v>2650</v>
      </c>
      <c r="D8" s="904">
        <v>2900</v>
      </c>
      <c r="E8" s="829">
        <v>2900</v>
      </c>
      <c r="F8" s="829">
        <v>3600</v>
      </c>
      <c r="G8" s="829">
        <v>3600</v>
      </c>
      <c r="H8" s="829">
        <v>3600</v>
      </c>
      <c r="I8" s="829">
        <v>3600</v>
      </c>
      <c r="J8" s="981">
        <f>SUM(I8:I10)</f>
        <v>13600</v>
      </c>
    </row>
    <row r="9" spans="1:12" s="93" customFormat="1" ht="24.95" customHeight="1" x14ac:dyDescent="0.3">
      <c r="A9" s="126">
        <v>435</v>
      </c>
      <c r="B9" s="34" t="s">
        <v>86</v>
      </c>
      <c r="C9" s="675">
        <v>1490</v>
      </c>
      <c r="D9" s="905">
        <v>10000</v>
      </c>
      <c r="E9" s="676">
        <v>7000</v>
      </c>
      <c r="F9" s="676">
        <f>5000+3000</f>
        <v>8000</v>
      </c>
      <c r="G9" s="676">
        <v>8000</v>
      </c>
      <c r="H9" s="676">
        <v>10000</v>
      </c>
      <c r="I9" s="676">
        <v>10000</v>
      </c>
      <c r="J9" s="982"/>
    </row>
    <row r="10" spans="1:12" s="93" customFormat="1" ht="24.95" customHeight="1" x14ac:dyDescent="0.3">
      <c r="A10" s="126">
        <v>450</v>
      </c>
      <c r="B10" s="34" t="s">
        <v>435</v>
      </c>
      <c r="C10" s="677">
        <v>448</v>
      </c>
      <c r="D10" s="906">
        <v>500</v>
      </c>
      <c r="E10" s="678">
        <v>200</v>
      </c>
      <c r="F10" s="678">
        <v>200</v>
      </c>
      <c r="G10" s="678">
        <v>100</v>
      </c>
      <c r="H10" s="678">
        <v>0</v>
      </c>
      <c r="I10" s="678">
        <v>0</v>
      </c>
      <c r="J10" s="983"/>
    </row>
    <row r="11" spans="1:12" s="93" customFormat="1" ht="24.95" customHeight="1" x14ac:dyDescent="0.3">
      <c r="A11" s="126">
        <v>460</v>
      </c>
      <c r="B11" s="34" t="s">
        <v>236</v>
      </c>
      <c r="C11" s="845">
        <v>450</v>
      </c>
      <c r="D11" s="908">
        <v>4000</v>
      </c>
      <c r="E11" s="829">
        <v>4000</v>
      </c>
      <c r="F11" s="829">
        <v>2000</v>
      </c>
      <c r="G11" s="829">
        <v>2000</v>
      </c>
      <c r="H11" s="829">
        <v>2000</v>
      </c>
      <c r="I11" s="829">
        <v>2000</v>
      </c>
      <c r="J11" s="981">
        <f>SUM(I11:I13)</f>
        <v>134400</v>
      </c>
    </row>
    <row r="12" spans="1:12" s="93" customFormat="1" ht="24.95" customHeight="1" x14ac:dyDescent="0.3">
      <c r="A12" s="126">
        <v>470</v>
      </c>
      <c r="B12" s="903" t="s">
        <v>635</v>
      </c>
      <c r="C12" s="675">
        <v>124555</v>
      </c>
      <c r="D12" s="909">
        <v>144000</v>
      </c>
      <c r="E12" s="676">
        <v>147600</v>
      </c>
      <c r="F12" s="676">
        <f>30*4050</f>
        <v>121500</v>
      </c>
      <c r="G12" s="676">
        <f>28*4050</f>
        <v>113400</v>
      </c>
      <c r="H12" s="676">
        <v>97200</v>
      </c>
      <c r="I12" s="676">
        <v>97200</v>
      </c>
      <c r="J12" s="982"/>
    </row>
    <row r="13" spans="1:12" s="93" customFormat="1" ht="30" customHeight="1" x14ac:dyDescent="0.3">
      <c r="A13" s="126">
        <v>471</v>
      </c>
      <c r="B13" s="903" t="s">
        <v>299</v>
      </c>
      <c r="C13" s="677">
        <v>34455.75</v>
      </c>
      <c r="D13" s="910">
        <v>42000</v>
      </c>
      <c r="E13" s="678">
        <v>49200</v>
      </c>
      <c r="F13" s="678">
        <f>48*1100</f>
        <v>52800</v>
      </c>
      <c r="G13" s="678">
        <f>48*1100</f>
        <v>52800</v>
      </c>
      <c r="H13" s="678">
        <v>35200</v>
      </c>
      <c r="I13" s="678">
        <v>35200</v>
      </c>
      <c r="J13" s="983"/>
    </row>
    <row r="14" spans="1:12" s="93" customFormat="1" ht="30" hidden="1" customHeight="1" x14ac:dyDescent="0.3">
      <c r="A14" s="126">
        <v>475</v>
      </c>
      <c r="B14" s="903" t="s">
        <v>87</v>
      </c>
      <c r="C14" s="750">
        <v>6488.95</v>
      </c>
      <c r="D14" s="901">
        <v>10100</v>
      </c>
      <c r="E14" s="902">
        <v>15000</v>
      </c>
      <c r="F14" s="902"/>
      <c r="G14" s="902"/>
      <c r="H14" s="902"/>
      <c r="I14" s="902"/>
      <c r="J14" s="682"/>
    </row>
    <row r="15" spans="1:12" s="93" customFormat="1" ht="24.95" customHeight="1" x14ac:dyDescent="0.3">
      <c r="A15" s="126">
        <v>477</v>
      </c>
      <c r="B15" s="34" t="s">
        <v>237</v>
      </c>
      <c r="C15" s="845">
        <v>2500</v>
      </c>
      <c r="D15" s="908">
        <v>0</v>
      </c>
      <c r="E15" s="829"/>
      <c r="F15" s="829"/>
      <c r="G15" s="829"/>
      <c r="H15" s="829"/>
      <c r="I15" s="829"/>
      <c r="J15" s="981">
        <f>SUM(I15:I16)</f>
        <v>2500</v>
      </c>
    </row>
    <row r="16" spans="1:12" s="93" customFormat="1" ht="24.95" customHeight="1" x14ac:dyDescent="0.3">
      <c r="A16" s="126">
        <v>480</v>
      </c>
      <c r="B16" s="34" t="s">
        <v>233</v>
      </c>
      <c r="C16" s="677">
        <v>1250</v>
      </c>
      <c r="D16" s="906">
        <v>2500</v>
      </c>
      <c r="E16" s="678">
        <v>2500</v>
      </c>
      <c r="F16" s="678">
        <v>2500</v>
      </c>
      <c r="G16" s="678">
        <v>2500</v>
      </c>
      <c r="H16" s="678">
        <v>2500</v>
      </c>
      <c r="I16" s="678">
        <v>2500</v>
      </c>
      <c r="J16" s="983"/>
    </row>
    <row r="17" spans="1:10" s="93" customFormat="1" ht="24.95" customHeight="1" x14ac:dyDescent="0.3">
      <c r="A17" s="126">
        <v>485</v>
      </c>
      <c r="B17" s="34" t="s">
        <v>88</v>
      </c>
      <c r="C17" s="845">
        <v>124</v>
      </c>
      <c r="D17" s="904">
        <v>0</v>
      </c>
      <c r="E17" s="829">
        <v>300000</v>
      </c>
      <c r="F17" s="829"/>
      <c r="G17" s="829">
        <v>775000</v>
      </c>
      <c r="H17" s="829">
        <v>695000</v>
      </c>
      <c r="I17" s="829"/>
      <c r="J17" s="981">
        <f>SUM(I17:I21)</f>
        <v>2000</v>
      </c>
    </row>
    <row r="18" spans="1:10" s="93" customFormat="1" ht="24.95" customHeight="1" x14ac:dyDescent="0.3">
      <c r="A18" s="126">
        <v>487</v>
      </c>
      <c r="B18" s="34" t="s">
        <v>641</v>
      </c>
      <c r="C18" s="911">
        <v>2280.4</v>
      </c>
      <c r="D18" s="905">
        <v>3400</v>
      </c>
      <c r="E18" s="676">
        <v>2200</v>
      </c>
      <c r="F18" s="676">
        <v>2400</v>
      </c>
      <c r="G18" s="676">
        <v>2000</v>
      </c>
      <c r="H18" s="676">
        <v>2000</v>
      </c>
      <c r="I18" s="676">
        <v>2000</v>
      </c>
      <c r="J18" s="982"/>
    </row>
    <row r="19" spans="1:10" s="93" customFormat="1" ht="24.95" customHeight="1" x14ac:dyDescent="0.3">
      <c r="A19" s="126">
        <v>490</v>
      </c>
      <c r="B19" s="34" t="s">
        <v>89</v>
      </c>
      <c r="C19" s="675">
        <v>6004.64</v>
      </c>
      <c r="D19" s="905">
        <v>0</v>
      </c>
      <c r="E19" s="676"/>
      <c r="F19" s="676"/>
      <c r="G19" s="676">
        <v>0</v>
      </c>
      <c r="H19" s="676">
        <v>0</v>
      </c>
      <c r="I19" s="676">
        <v>0</v>
      </c>
      <c r="J19" s="982"/>
    </row>
    <row r="20" spans="1:10" s="93" customFormat="1" ht="24.95" customHeight="1" x14ac:dyDescent="0.3">
      <c r="A20" s="126">
        <v>493</v>
      </c>
      <c r="B20" s="34" t="s">
        <v>368</v>
      </c>
      <c r="C20" s="675">
        <v>276.60000000000002</v>
      </c>
      <c r="D20" s="905">
        <v>0</v>
      </c>
      <c r="E20" s="676"/>
      <c r="F20" s="676"/>
      <c r="G20" s="676">
        <v>0</v>
      </c>
      <c r="H20" s="676">
        <v>0</v>
      </c>
      <c r="I20" s="676">
        <v>0</v>
      </c>
      <c r="J20" s="982"/>
    </row>
    <row r="21" spans="1:10" s="93" customFormat="1" ht="24.95" customHeight="1" x14ac:dyDescent="0.3">
      <c r="A21" s="126">
        <v>499</v>
      </c>
      <c r="B21" s="34" t="s">
        <v>90</v>
      </c>
      <c r="C21" s="677"/>
      <c r="D21" s="910">
        <v>55000</v>
      </c>
      <c r="E21" s="678">
        <v>80000</v>
      </c>
      <c r="F21" s="678"/>
      <c r="G21" s="678">
        <f>25000+5000</f>
        <v>30000</v>
      </c>
      <c r="H21" s="678">
        <v>0</v>
      </c>
      <c r="I21" s="678">
        <v>0</v>
      </c>
      <c r="J21" s="983"/>
    </row>
    <row r="22" spans="1:10" s="93" customFormat="1" ht="24.95" hidden="1" customHeight="1" x14ac:dyDescent="0.3">
      <c r="A22" s="126">
        <v>495</v>
      </c>
      <c r="B22" s="912" t="s">
        <v>336</v>
      </c>
      <c r="C22" s="911">
        <v>0</v>
      </c>
      <c r="D22" s="901">
        <v>0</v>
      </c>
      <c r="E22" s="902"/>
      <c r="F22" s="902"/>
      <c r="G22" s="902"/>
      <c r="H22" s="902"/>
      <c r="I22" s="902"/>
      <c r="J22" s="683"/>
    </row>
    <row r="23" spans="1:10" s="93" customFormat="1" ht="13.5" customHeight="1" thickBot="1" x14ac:dyDescent="0.35">
      <c r="A23" s="913"/>
      <c r="B23" s="914"/>
      <c r="C23" s="46"/>
      <c r="D23" s="901"/>
      <c r="E23" s="902"/>
      <c r="F23" s="902"/>
      <c r="G23" s="902"/>
      <c r="H23" s="902"/>
      <c r="I23" s="902"/>
      <c r="J23" s="683"/>
    </row>
    <row r="24" spans="1:10" s="93" customFormat="1" ht="18.75" customHeight="1" thickTop="1" x14ac:dyDescent="0.3">
      <c r="A24" s="915"/>
      <c r="B24" s="221" t="s">
        <v>128</v>
      </c>
      <c r="C24" s="770">
        <f t="shared" ref="C24:I24" si="0">SUM(C3:C23)</f>
        <v>3879666.0200000005</v>
      </c>
      <c r="D24" s="859">
        <f t="shared" si="0"/>
        <v>3961537</v>
      </c>
      <c r="E24" s="770">
        <f t="shared" si="0"/>
        <v>4384629</v>
      </c>
      <c r="F24" s="770">
        <f t="shared" si="0"/>
        <v>4532113</v>
      </c>
      <c r="G24" s="770">
        <f t="shared" si="0"/>
        <v>5716451.7766999993</v>
      </c>
      <c r="H24" s="770">
        <f t="shared" ref="H24" si="1">SUM(H3:H23)</f>
        <v>6224481.4170000004</v>
      </c>
      <c r="I24" s="770">
        <f t="shared" si="0"/>
        <v>5778740.2394000003</v>
      </c>
      <c r="J24" s="684"/>
    </row>
    <row r="25" spans="1:10" s="93" customFormat="1" ht="16.5" x14ac:dyDescent="0.3">
      <c r="A25" s="97"/>
      <c r="B25" s="17"/>
      <c r="C25" s="46"/>
      <c r="D25" s="46"/>
    </row>
    <row r="26" spans="1:10" ht="12.95" customHeight="1" x14ac:dyDescent="0.25">
      <c r="A26" s="26"/>
      <c r="B26" s="26"/>
    </row>
    <row r="27" spans="1:10" ht="18" customHeight="1" x14ac:dyDescent="0.25">
      <c r="A27" s="26"/>
      <c r="B27" s="26"/>
    </row>
    <row r="28" spans="1:10" ht="9" customHeight="1" x14ac:dyDescent="0.25">
      <c r="A28" s="26"/>
      <c r="B28" s="26"/>
    </row>
    <row r="29" spans="1:10" s="93" customFormat="1" ht="12.95" customHeight="1" x14ac:dyDescent="0.25"/>
    <row r="30" spans="1:10" ht="9" customHeight="1" x14ac:dyDescent="0.25">
      <c r="A30" s="26"/>
      <c r="B30" s="26"/>
    </row>
    <row r="31" spans="1:10" ht="12.95" customHeight="1" x14ac:dyDescent="0.25">
      <c r="A31" s="26"/>
      <c r="B31" s="26"/>
    </row>
    <row r="32" spans="1:10" ht="12.95" customHeight="1" x14ac:dyDescent="0.25">
      <c r="A32" s="26"/>
      <c r="B32" s="26"/>
    </row>
    <row r="33" spans="1:2" ht="12.95" customHeight="1" x14ac:dyDescent="0.25">
      <c r="A33" s="26"/>
      <c r="B33" s="26"/>
    </row>
    <row r="34" spans="1:2" ht="12.95" customHeight="1" x14ac:dyDescent="0.25">
      <c r="A34" s="26"/>
      <c r="B34" s="26"/>
    </row>
    <row r="35" spans="1:2" ht="12.95" customHeight="1" x14ac:dyDescent="0.25">
      <c r="A35" s="26"/>
      <c r="B35" s="26"/>
    </row>
    <row r="36" spans="1:2" ht="12.95" customHeight="1" x14ac:dyDescent="0.25">
      <c r="A36" s="26"/>
      <c r="B36" s="26"/>
    </row>
    <row r="37" spans="1:2" ht="18.75" customHeight="1" x14ac:dyDescent="0.25">
      <c r="A37" s="26"/>
      <c r="B37" s="26"/>
    </row>
    <row r="38" spans="1:2" ht="18.75" customHeight="1" x14ac:dyDescent="0.25">
      <c r="A38" s="26"/>
      <c r="B38" s="26"/>
    </row>
    <row r="39" spans="1:2" ht="18.75" customHeight="1" x14ac:dyDescent="0.25">
      <c r="A39" s="26"/>
      <c r="B39" s="26"/>
    </row>
    <row r="40" spans="1:2" ht="18.75" customHeight="1" x14ac:dyDescent="0.25">
      <c r="A40" s="26"/>
      <c r="B40" s="26"/>
    </row>
    <row r="41" spans="1:2" ht="18.75" customHeight="1" x14ac:dyDescent="0.25">
      <c r="A41" s="26"/>
      <c r="B41" s="26"/>
    </row>
    <row r="42" spans="1:2" ht="10.5" customHeight="1" x14ac:dyDescent="0.25">
      <c r="A42" s="26"/>
      <c r="B42" s="26"/>
    </row>
    <row r="43" spans="1:2" ht="18.75" customHeight="1" x14ac:dyDescent="0.25">
      <c r="A43" s="26"/>
      <c r="B43" s="26"/>
    </row>
    <row r="44" spans="1:2" ht="18.75" customHeight="1" x14ac:dyDescent="0.25">
      <c r="A44" s="26"/>
      <c r="B44" s="26"/>
    </row>
    <row r="45" spans="1:2" ht="18.75" customHeight="1" x14ac:dyDescent="0.25">
      <c r="A45" s="26"/>
      <c r="B45" s="26"/>
    </row>
    <row r="46" spans="1:2" ht="18.75" customHeight="1" x14ac:dyDescent="0.25">
      <c r="A46" s="26"/>
      <c r="B46" s="26"/>
    </row>
    <row r="47" spans="1:2" ht="18.75" customHeight="1" x14ac:dyDescent="0.25">
      <c r="A47" s="26"/>
      <c r="B47" s="26"/>
    </row>
    <row r="48" spans="1:2" ht="18.75" customHeight="1" x14ac:dyDescent="0.25">
      <c r="A48" s="26"/>
      <c r="B48" s="26"/>
    </row>
    <row r="49" spans="1:2" ht="18.75" customHeight="1" x14ac:dyDescent="0.25">
      <c r="A49" s="26"/>
      <c r="B49" s="26"/>
    </row>
    <row r="50" spans="1:2" ht="18.75" customHeight="1" x14ac:dyDescent="0.25">
      <c r="A50" s="26"/>
      <c r="B50" s="26"/>
    </row>
    <row r="51" spans="1:2" ht="18.75" customHeight="1" x14ac:dyDescent="0.25">
      <c r="A51" s="26"/>
      <c r="B51" s="26"/>
    </row>
    <row r="52" spans="1:2" ht="18.75" customHeight="1" x14ac:dyDescent="0.25">
      <c r="A52" s="26"/>
      <c r="B52" s="26"/>
    </row>
    <row r="53" spans="1:2" ht="18.75" customHeight="1" x14ac:dyDescent="0.25">
      <c r="A53" s="26"/>
      <c r="B53" s="26"/>
    </row>
    <row r="54" spans="1:2" ht="18.75" customHeight="1" x14ac:dyDescent="0.25">
      <c r="A54" s="26"/>
      <c r="B54" s="26"/>
    </row>
    <row r="55" spans="1:2" ht="18.75" customHeight="1" x14ac:dyDescent="0.25">
      <c r="A55" s="26"/>
      <c r="B55" s="26"/>
    </row>
  </sheetData>
  <mergeCells count="5">
    <mergeCell ref="J4:J6"/>
    <mergeCell ref="J8:J10"/>
    <mergeCell ref="J11:J13"/>
    <mergeCell ref="J15:J16"/>
    <mergeCell ref="J17:J21"/>
  </mergeCells>
  <phoneticPr fontId="19" type="noConversion"/>
  <printOptions horizontalCentered="1"/>
  <pageMargins left="0.75" right="0.5" top="1" bottom="1" header="0.5" footer="0.5"/>
  <pageSetup scale="83"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3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4.85546875" bestFit="1" customWidth="1"/>
    <col min="2" max="2" width="9.28515625" hidden="1" customWidth="1"/>
    <col min="3" max="3" width="10.28515625" hidden="1" customWidth="1"/>
    <col min="4" max="4" width="9.5703125" hidden="1" customWidth="1"/>
    <col min="5" max="5" width="0" hidden="1" customWidth="1"/>
    <col min="6" max="6" width="9.85546875" bestFit="1" customWidth="1"/>
    <col min="7" max="8" width="10.28515625" customWidth="1"/>
    <col min="9" max="9" width="14.85546875" bestFit="1" customWidth="1"/>
  </cols>
  <sheetData>
    <row r="1" spans="1:9" ht="18.95" customHeight="1" x14ac:dyDescent="0.25">
      <c r="A1" s="260" t="s">
        <v>558</v>
      </c>
      <c r="B1" s="260"/>
      <c r="C1" s="260"/>
      <c r="D1" s="260"/>
      <c r="E1" s="260"/>
      <c r="F1" s="260"/>
      <c r="G1" s="260"/>
      <c r="H1" s="260"/>
    </row>
    <row r="2" spans="1:9" ht="18.95" customHeight="1" x14ac:dyDescent="0.3">
      <c r="A2" s="109" t="s">
        <v>130</v>
      </c>
      <c r="B2" s="109">
        <v>2010</v>
      </c>
      <c r="C2" s="109">
        <v>2013</v>
      </c>
      <c r="D2" s="109">
        <v>2014</v>
      </c>
      <c r="E2" s="109">
        <v>2015</v>
      </c>
      <c r="F2" s="109">
        <v>2016</v>
      </c>
      <c r="G2" s="109">
        <v>2017</v>
      </c>
      <c r="H2" s="109">
        <v>2018</v>
      </c>
    </row>
    <row r="3" spans="1:9" ht="18.75" customHeight="1" x14ac:dyDescent="0.3">
      <c r="A3" s="109"/>
      <c r="B3" s="109"/>
      <c r="C3" s="109"/>
      <c r="D3" s="109"/>
      <c r="E3" s="109"/>
      <c r="F3" s="109"/>
      <c r="G3" s="109"/>
      <c r="H3" s="109"/>
      <c r="I3" s="186"/>
    </row>
    <row r="4" spans="1:9" ht="24.95" customHeight="1" x14ac:dyDescent="0.3">
      <c r="A4" s="63" t="s">
        <v>327</v>
      </c>
      <c r="B4" s="42">
        <v>600</v>
      </c>
      <c r="C4" s="42">
        <v>750</v>
      </c>
      <c r="D4" s="42">
        <v>800</v>
      </c>
      <c r="E4" s="42">
        <v>1000</v>
      </c>
      <c r="F4" s="686">
        <v>1200</v>
      </c>
      <c r="G4" s="686">
        <v>1200</v>
      </c>
      <c r="H4" s="686">
        <v>2000</v>
      </c>
      <c r="I4" s="860" t="s">
        <v>689</v>
      </c>
    </row>
    <row r="5" spans="1:9" ht="24.95" customHeight="1" x14ac:dyDescent="0.3">
      <c r="A5" s="855" t="s">
        <v>705</v>
      </c>
      <c r="B5" s="42">
        <v>1000</v>
      </c>
      <c r="C5" s="42">
        <v>400</v>
      </c>
      <c r="D5" s="42">
        <v>800</v>
      </c>
      <c r="E5" s="42">
        <v>1200</v>
      </c>
      <c r="F5" s="686">
        <v>1400</v>
      </c>
      <c r="G5" s="686">
        <v>1500</v>
      </c>
      <c r="H5" s="686">
        <v>1600</v>
      </c>
      <c r="I5" s="111"/>
    </row>
    <row r="6" spans="1:9" ht="24.95" customHeight="1" x14ac:dyDescent="0.3">
      <c r="A6" s="110" t="s">
        <v>706</v>
      </c>
      <c r="B6" s="553">
        <v>5600</v>
      </c>
      <c r="C6" s="553">
        <v>8000</v>
      </c>
      <c r="D6" s="553">
        <v>5000</v>
      </c>
      <c r="E6" s="553">
        <v>8000</v>
      </c>
      <c r="F6" s="731">
        <v>12000</v>
      </c>
      <c r="G6" s="731">
        <f>(400*4)+(400*3)+(300*5*4)+(100*5*4)</f>
        <v>10800</v>
      </c>
      <c r="H6" s="731">
        <f>(650*4)+(300*5*4)+(100*5*4)</f>
        <v>10600</v>
      </c>
      <c r="I6" s="111" t="s">
        <v>680</v>
      </c>
    </row>
    <row r="7" spans="1:9" ht="24.95" customHeight="1" x14ac:dyDescent="0.3">
      <c r="A7" s="63" t="s">
        <v>667</v>
      </c>
      <c r="B7" s="42">
        <v>400</v>
      </c>
      <c r="C7" s="42">
        <v>300</v>
      </c>
      <c r="D7" s="42">
        <v>400</v>
      </c>
      <c r="E7" s="42">
        <v>500</v>
      </c>
      <c r="F7" s="686">
        <v>600</v>
      </c>
      <c r="G7" s="686">
        <v>500</v>
      </c>
      <c r="H7" s="686">
        <v>600</v>
      </c>
      <c r="I7" s="111"/>
    </row>
    <row r="8" spans="1:9" ht="24.95" hidden="1" customHeight="1" x14ac:dyDescent="0.3">
      <c r="A8" s="54" t="s">
        <v>326</v>
      </c>
      <c r="B8" s="49">
        <v>350</v>
      </c>
      <c r="C8" s="49">
        <v>350</v>
      </c>
      <c r="D8" s="49">
        <v>0</v>
      </c>
      <c r="E8" s="49">
        <v>0</v>
      </c>
      <c r="F8" s="738"/>
      <c r="G8" s="738"/>
      <c r="H8" s="738"/>
      <c r="I8" s="111"/>
    </row>
    <row r="9" spans="1:9" ht="24.95" customHeight="1" x14ac:dyDescent="0.3">
      <c r="A9" s="856" t="s">
        <v>700</v>
      </c>
      <c r="B9" s="553">
        <v>800</v>
      </c>
      <c r="C9" s="553">
        <v>1000</v>
      </c>
      <c r="D9" s="553">
        <v>1200</v>
      </c>
      <c r="E9" s="553">
        <v>1200</v>
      </c>
      <c r="F9" s="731">
        <v>2500</v>
      </c>
      <c r="G9" s="731">
        <v>3000</v>
      </c>
      <c r="H9" s="731">
        <f>(250*6)+(250*4*6)+(55*4*6)</f>
        <v>8820</v>
      </c>
      <c r="I9" s="111" t="s">
        <v>663</v>
      </c>
    </row>
    <row r="10" spans="1:9" ht="24.95" hidden="1" customHeight="1" x14ac:dyDescent="0.3">
      <c r="A10" s="110" t="s">
        <v>330</v>
      </c>
      <c r="B10" s="553"/>
      <c r="C10" s="553">
        <v>200</v>
      </c>
      <c r="D10" s="553">
        <v>200</v>
      </c>
      <c r="E10" s="553"/>
      <c r="F10" s="731"/>
      <c r="G10" s="731"/>
      <c r="H10" s="731"/>
      <c r="I10" s="111" t="s">
        <v>369</v>
      </c>
    </row>
    <row r="11" spans="1:9" ht="24.95" hidden="1" customHeight="1" x14ac:dyDescent="0.3">
      <c r="A11" s="110" t="s">
        <v>328</v>
      </c>
      <c r="B11" s="553">
        <v>250</v>
      </c>
      <c r="C11" s="553">
        <v>200</v>
      </c>
      <c r="D11" s="553">
        <v>300</v>
      </c>
      <c r="E11" s="553">
        <v>300</v>
      </c>
      <c r="F11" s="731"/>
      <c r="G11" s="731"/>
      <c r="H11" s="731"/>
      <c r="I11" s="860" t="s">
        <v>490</v>
      </c>
    </row>
    <row r="12" spans="1:9" ht="24.95" hidden="1" customHeight="1" x14ac:dyDescent="0.3">
      <c r="A12" s="110" t="s">
        <v>329</v>
      </c>
      <c r="B12" s="553">
        <v>400</v>
      </c>
      <c r="C12" s="553">
        <v>400</v>
      </c>
      <c r="D12" s="553">
        <v>400</v>
      </c>
      <c r="E12" s="553"/>
      <c r="F12" s="731"/>
      <c r="G12" s="731"/>
      <c r="H12" s="731"/>
      <c r="I12" s="111" t="s">
        <v>369</v>
      </c>
    </row>
    <row r="13" spans="1:9" ht="24.95" customHeight="1" x14ac:dyDescent="0.3">
      <c r="A13" s="110" t="s">
        <v>666</v>
      </c>
      <c r="B13" s="553">
        <v>1400</v>
      </c>
      <c r="C13" s="553">
        <v>1200</v>
      </c>
      <c r="D13" s="553">
        <v>1200</v>
      </c>
      <c r="E13" s="553">
        <v>1200</v>
      </c>
      <c r="F13" s="731">
        <v>1000</v>
      </c>
      <c r="G13" s="731">
        <v>1000</v>
      </c>
      <c r="H13" s="731">
        <v>1000</v>
      </c>
      <c r="I13" s="111" t="s">
        <v>664</v>
      </c>
    </row>
    <row r="14" spans="1:9" ht="24.95" hidden="1" customHeight="1" x14ac:dyDescent="0.3">
      <c r="A14" s="861" t="s">
        <v>22</v>
      </c>
      <c r="B14" s="49">
        <v>500</v>
      </c>
      <c r="C14" s="49"/>
      <c r="D14" s="49"/>
      <c r="E14" s="553"/>
      <c r="F14" s="731"/>
      <c r="G14" s="731"/>
      <c r="H14" s="731"/>
      <c r="I14" s="111"/>
    </row>
    <row r="15" spans="1:9" ht="24.95" customHeight="1" x14ac:dyDescent="0.3">
      <c r="A15" s="110" t="s">
        <v>668</v>
      </c>
      <c r="B15" s="553">
        <v>2600</v>
      </c>
      <c r="C15" s="553">
        <v>3000</v>
      </c>
      <c r="D15" s="553">
        <v>3000</v>
      </c>
      <c r="E15" s="553">
        <f>3200+6500</f>
        <v>9700</v>
      </c>
      <c r="F15" s="731">
        <v>12000</v>
      </c>
      <c r="G15" s="731">
        <v>13500</v>
      </c>
      <c r="H15" s="731">
        <v>14500</v>
      </c>
      <c r="I15" s="111" t="s">
        <v>665</v>
      </c>
    </row>
    <row r="16" spans="1:9" ht="24.95" customHeight="1" x14ac:dyDescent="0.3">
      <c r="A16" s="464" t="s">
        <v>312</v>
      </c>
      <c r="B16" s="43">
        <v>1000</v>
      </c>
      <c r="C16" s="43">
        <v>750</v>
      </c>
      <c r="D16" s="43">
        <v>1000</v>
      </c>
      <c r="E16" s="293">
        <v>2200</v>
      </c>
      <c r="F16" s="688">
        <v>3000</v>
      </c>
      <c r="G16" s="688">
        <v>3000</v>
      </c>
      <c r="H16" s="688">
        <v>5000</v>
      </c>
      <c r="I16" s="111" t="s">
        <v>724</v>
      </c>
    </row>
    <row r="17" spans="1:9" ht="24.95" customHeight="1" x14ac:dyDescent="0.3">
      <c r="A17" s="862" t="s">
        <v>610</v>
      </c>
      <c r="B17" s="43">
        <v>500</v>
      </c>
      <c r="C17" s="43"/>
      <c r="D17" s="43"/>
      <c r="E17" s="293"/>
      <c r="F17" s="688">
        <v>4000</v>
      </c>
      <c r="G17" s="688">
        <v>6000</v>
      </c>
      <c r="H17" s="688">
        <v>6000</v>
      </c>
      <c r="I17" s="111" t="s">
        <v>725</v>
      </c>
    </row>
    <row r="18" spans="1:9" ht="24.95" customHeight="1" x14ac:dyDescent="0.3">
      <c r="A18" s="861" t="s">
        <v>616</v>
      </c>
      <c r="B18" s="42"/>
      <c r="C18" s="42"/>
      <c r="D18" s="42"/>
      <c r="E18" s="42"/>
      <c r="F18" s="686">
        <v>1500</v>
      </c>
      <c r="G18" s="686">
        <v>2500</v>
      </c>
      <c r="H18" s="686">
        <v>3800</v>
      </c>
      <c r="I18" s="111" t="s">
        <v>726</v>
      </c>
    </row>
    <row r="19" spans="1:9" ht="24.95" customHeight="1" x14ac:dyDescent="0.3">
      <c r="A19" s="861" t="s">
        <v>707</v>
      </c>
      <c r="B19" s="42"/>
      <c r="C19" s="42"/>
      <c r="D19" s="42"/>
      <c r="E19" s="42"/>
      <c r="F19" s="686"/>
      <c r="G19" s="686">
        <f>(285*2)+(3*175*2)+(2*400)</f>
        <v>2420</v>
      </c>
      <c r="H19" s="686">
        <v>1500</v>
      </c>
      <c r="I19" s="111"/>
    </row>
    <row r="20" spans="1:9" ht="24.95" customHeight="1" x14ac:dyDescent="0.3">
      <c r="A20" s="861" t="s">
        <v>714</v>
      </c>
      <c r="B20" s="42"/>
      <c r="C20" s="42"/>
      <c r="D20" s="42"/>
      <c r="E20" s="42"/>
      <c r="F20" s="686"/>
      <c r="G20" s="686"/>
      <c r="H20" s="686">
        <f>450+(200*2)+(60*3)</f>
        <v>1030</v>
      </c>
      <c r="I20" s="111" t="s">
        <v>457</v>
      </c>
    </row>
    <row r="21" spans="1:9" ht="24.95" customHeight="1" thickBot="1" x14ac:dyDescent="0.35">
      <c r="A21" s="863"/>
      <c r="B21" s="43">
        <v>-4500</v>
      </c>
      <c r="C21" s="43"/>
      <c r="D21" s="43"/>
      <c r="E21" s="43"/>
      <c r="F21" s="687"/>
      <c r="G21" s="687"/>
      <c r="H21" s="687"/>
      <c r="I21" s="111"/>
    </row>
    <row r="22" spans="1:9" ht="24.95" customHeight="1" x14ac:dyDescent="0.3">
      <c r="A22" s="221" t="s">
        <v>128</v>
      </c>
      <c r="B22" s="864">
        <f t="shared" ref="B22:H22" si="0">SUM(B3:B21)</f>
        <v>10900</v>
      </c>
      <c r="C22" s="864">
        <f t="shared" si="0"/>
        <v>16550</v>
      </c>
      <c r="D22" s="864">
        <f t="shared" si="0"/>
        <v>14300</v>
      </c>
      <c r="E22" s="864">
        <f t="shared" si="0"/>
        <v>25300</v>
      </c>
      <c r="F22" s="865">
        <f t="shared" si="0"/>
        <v>39200</v>
      </c>
      <c r="G22" s="865">
        <f t="shared" ref="G22" si="1">SUM(G3:G21)</f>
        <v>45420</v>
      </c>
      <c r="H22" s="865">
        <f t="shared" si="0"/>
        <v>56450</v>
      </c>
      <c r="I22" s="186"/>
    </row>
    <row r="23" spans="1:9" x14ac:dyDescent="0.2">
      <c r="A23" s="261"/>
      <c r="B23" s="24"/>
      <c r="C23" s="24"/>
      <c r="D23" s="24"/>
      <c r="E23" s="24"/>
      <c r="F23" s="24"/>
      <c r="G23" s="24"/>
      <c r="H23" s="24"/>
      <c r="I23" s="249"/>
    </row>
  </sheetData>
  <sortState ref="A4:E5">
    <sortCondition ref="A4:A5"/>
  </sortState>
  <phoneticPr fontId="19" type="noConversion"/>
  <printOptions horizontalCentered="1"/>
  <pageMargins left="0.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3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2"/>
  <cols>
    <col min="1" max="1" width="51.28515625" style="3" bestFit="1" customWidth="1"/>
    <col min="2" max="5" width="10.42578125" style="1" hidden="1" customWidth="1"/>
    <col min="6" max="6" width="10.42578125" style="1" customWidth="1"/>
    <col min="7" max="7" width="11.7109375" style="1" customWidth="1"/>
    <col min="8" max="8" width="11.7109375" style="1" bestFit="1" customWidth="1"/>
    <col min="9" max="16384" width="9.140625" style="1"/>
  </cols>
  <sheetData>
    <row r="1" spans="1:8" s="2" customFormat="1" ht="18.75" customHeight="1" x14ac:dyDescent="0.25">
      <c r="A1" s="260" t="s">
        <v>283</v>
      </c>
      <c r="B1" s="87"/>
      <c r="C1" s="87"/>
      <c r="D1" s="87"/>
      <c r="E1" s="87"/>
      <c r="F1" s="87"/>
      <c r="G1" s="87"/>
      <c r="H1" s="87"/>
    </row>
    <row r="2" spans="1:8" ht="12.75" customHeight="1" x14ac:dyDescent="0.2">
      <c r="A2" s="31"/>
      <c r="B2" s="23"/>
      <c r="C2" s="23"/>
      <c r="D2" s="30"/>
      <c r="E2" s="350"/>
      <c r="F2" s="350"/>
      <c r="G2" s="350"/>
      <c r="H2" s="350"/>
    </row>
    <row r="3" spans="1:8" s="2" customFormat="1" ht="16.5" x14ac:dyDescent="0.3">
      <c r="A3" s="41" t="s">
        <v>130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s="6" customFormat="1" ht="16.5" x14ac:dyDescent="0.3">
      <c r="A4" s="101"/>
      <c r="B4" s="114"/>
      <c r="C4" s="114"/>
      <c r="D4" s="114"/>
      <c r="E4" s="114"/>
      <c r="F4" s="737"/>
      <c r="G4" s="737"/>
      <c r="H4" s="737"/>
    </row>
    <row r="5" spans="1:8" ht="18.75" customHeight="1" x14ac:dyDescent="0.3">
      <c r="A5" s="63" t="s">
        <v>274</v>
      </c>
      <c r="B5" s="49">
        <v>6925</v>
      </c>
      <c r="C5" s="49">
        <v>6500</v>
      </c>
      <c r="D5" s="49">
        <v>6500</v>
      </c>
      <c r="E5" s="49">
        <v>4500</v>
      </c>
      <c r="F5" s="738">
        <v>4500</v>
      </c>
      <c r="G5" s="738">
        <v>4100</v>
      </c>
      <c r="H5" s="738">
        <v>4100</v>
      </c>
    </row>
    <row r="6" spans="1:8" ht="18.75" customHeight="1" x14ac:dyDescent="0.3">
      <c r="A6" s="63" t="s">
        <v>272</v>
      </c>
      <c r="B6" s="36">
        <v>725</v>
      </c>
      <c r="C6" s="36">
        <v>1500</v>
      </c>
      <c r="D6" s="36">
        <v>1200</v>
      </c>
      <c r="E6" s="36">
        <v>1200</v>
      </c>
      <c r="F6" s="743">
        <v>1200</v>
      </c>
      <c r="G6" s="743">
        <v>1200</v>
      </c>
      <c r="H6" s="743">
        <v>1200</v>
      </c>
    </row>
    <row r="7" spans="1:8" ht="18.75" customHeight="1" x14ac:dyDescent="0.3">
      <c r="A7" s="63" t="s">
        <v>282</v>
      </c>
      <c r="B7" s="49">
        <v>4500</v>
      </c>
      <c r="C7" s="49">
        <v>3500</v>
      </c>
      <c r="D7" s="49">
        <v>3600</v>
      </c>
      <c r="E7" s="49">
        <v>3600</v>
      </c>
      <c r="F7" s="738">
        <v>3600</v>
      </c>
      <c r="G7" s="738">
        <v>3600</v>
      </c>
      <c r="H7" s="738">
        <v>3600</v>
      </c>
    </row>
    <row r="8" spans="1:8" s="2" customFormat="1" ht="18.75" customHeight="1" x14ac:dyDescent="0.3">
      <c r="A8" s="63" t="s">
        <v>303</v>
      </c>
      <c r="B8" s="49">
        <v>4000</v>
      </c>
      <c r="C8" s="49">
        <v>3000</v>
      </c>
      <c r="D8" s="49">
        <v>3000</v>
      </c>
      <c r="E8" s="49">
        <v>3000</v>
      </c>
      <c r="F8" s="738">
        <v>3000</v>
      </c>
      <c r="G8" s="738">
        <v>3000</v>
      </c>
      <c r="H8" s="738">
        <v>3000</v>
      </c>
    </row>
    <row r="9" spans="1:8" s="2" customFormat="1" ht="18.75" customHeight="1" x14ac:dyDescent="0.3">
      <c r="A9" s="63" t="s">
        <v>302</v>
      </c>
      <c r="B9" s="49">
        <v>2000</v>
      </c>
      <c r="C9" s="49">
        <v>2500</v>
      </c>
      <c r="D9" s="49">
        <v>2000</v>
      </c>
      <c r="E9" s="49">
        <v>2000</v>
      </c>
      <c r="F9" s="738">
        <v>2000</v>
      </c>
      <c r="G9" s="738">
        <v>2000</v>
      </c>
      <c r="H9" s="738">
        <v>2000</v>
      </c>
    </row>
    <row r="10" spans="1:8" s="2" customFormat="1" ht="18.75" customHeight="1" x14ac:dyDescent="0.3">
      <c r="A10" s="63" t="s">
        <v>273</v>
      </c>
      <c r="B10" s="36">
        <v>2000</v>
      </c>
      <c r="C10" s="36">
        <v>2000</v>
      </c>
      <c r="D10" s="36">
        <v>2000</v>
      </c>
      <c r="E10" s="36">
        <v>2000</v>
      </c>
      <c r="F10" s="743">
        <v>2000</v>
      </c>
      <c r="G10" s="743">
        <v>2000</v>
      </c>
      <c r="H10" s="743">
        <v>2000</v>
      </c>
    </row>
    <row r="11" spans="1:8" s="2" customFormat="1" ht="18.75" customHeight="1" x14ac:dyDescent="0.3">
      <c r="A11" s="63" t="s">
        <v>271</v>
      </c>
      <c r="B11" s="36">
        <v>2000</v>
      </c>
      <c r="C11" s="36">
        <v>2500</v>
      </c>
      <c r="D11" s="36">
        <v>2200</v>
      </c>
      <c r="E11" s="805">
        <v>2200</v>
      </c>
      <c r="F11" s="793">
        <v>3000</v>
      </c>
      <c r="G11" s="793">
        <v>3000</v>
      </c>
      <c r="H11" s="793">
        <v>3000</v>
      </c>
    </row>
    <row r="12" spans="1:8" s="2" customFormat="1" ht="18.75" customHeight="1" x14ac:dyDescent="0.3">
      <c r="A12" s="63" t="s">
        <v>107</v>
      </c>
      <c r="B12" s="49">
        <v>900</v>
      </c>
      <c r="C12" s="49">
        <v>800</v>
      </c>
      <c r="D12" s="49">
        <v>500</v>
      </c>
      <c r="E12" s="553">
        <v>1000</v>
      </c>
      <c r="F12" s="731">
        <v>1000</v>
      </c>
      <c r="G12" s="731">
        <v>1000</v>
      </c>
      <c r="H12" s="731">
        <v>1000</v>
      </c>
    </row>
    <row r="13" spans="1:8" ht="18.75" hidden="1" customHeight="1" x14ac:dyDescent="0.3">
      <c r="A13" s="63" t="s">
        <v>280</v>
      </c>
      <c r="B13" s="49">
        <v>34400</v>
      </c>
      <c r="C13" s="49"/>
      <c r="D13" s="49"/>
      <c r="E13" s="553"/>
      <c r="F13" s="731"/>
      <c r="G13" s="731"/>
      <c r="H13" s="731"/>
    </row>
    <row r="14" spans="1:8" ht="18.75" hidden="1" customHeight="1" x14ac:dyDescent="0.3">
      <c r="A14" s="63" t="s">
        <v>300</v>
      </c>
      <c r="B14" s="49">
        <v>21840</v>
      </c>
      <c r="C14" s="49"/>
      <c r="D14" s="49"/>
      <c r="E14" s="553"/>
      <c r="F14" s="731"/>
      <c r="G14" s="731"/>
      <c r="H14" s="731"/>
    </row>
    <row r="15" spans="1:8" ht="18.75" customHeight="1" x14ac:dyDescent="0.3">
      <c r="A15" s="63" t="s">
        <v>727</v>
      </c>
      <c r="B15" s="49">
        <v>7875</v>
      </c>
      <c r="C15" s="49">
        <v>10000</v>
      </c>
      <c r="D15" s="49">
        <v>11000</v>
      </c>
      <c r="E15" s="553">
        <v>10000</v>
      </c>
      <c r="F15" s="731">
        <v>12000</v>
      </c>
      <c r="G15" s="731">
        <v>14000</v>
      </c>
      <c r="H15" s="731">
        <v>14000</v>
      </c>
    </row>
    <row r="16" spans="1:8" ht="18.75" customHeight="1" x14ac:dyDescent="0.3">
      <c r="A16" s="63" t="s">
        <v>560</v>
      </c>
      <c r="B16" s="49">
        <v>6500</v>
      </c>
      <c r="C16" s="49">
        <v>6000</v>
      </c>
      <c r="D16" s="49">
        <v>6000</v>
      </c>
      <c r="E16" s="553">
        <v>4000</v>
      </c>
      <c r="F16" s="731">
        <v>4000</v>
      </c>
      <c r="G16" s="731">
        <v>4000</v>
      </c>
      <c r="H16" s="731">
        <v>5000</v>
      </c>
    </row>
    <row r="17" spans="1:8" ht="18.75" hidden="1" customHeight="1" x14ac:dyDescent="0.3">
      <c r="A17" s="63" t="s">
        <v>295</v>
      </c>
      <c r="B17" s="49">
        <v>500</v>
      </c>
      <c r="C17" s="49"/>
      <c r="D17" s="49"/>
      <c r="E17" s="553"/>
      <c r="F17" s="731"/>
      <c r="G17" s="731"/>
      <c r="H17" s="731"/>
    </row>
    <row r="18" spans="1:8" ht="18.75" hidden="1" customHeight="1" x14ac:dyDescent="0.3">
      <c r="A18" s="63" t="s">
        <v>268</v>
      </c>
      <c r="B18" s="49">
        <v>1250</v>
      </c>
      <c r="C18" s="49"/>
      <c r="D18" s="49"/>
      <c r="E18" s="553"/>
      <c r="F18" s="731"/>
      <c r="G18" s="731"/>
      <c r="H18" s="731"/>
    </row>
    <row r="19" spans="1:8" ht="18.75" customHeight="1" x14ac:dyDescent="0.3">
      <c r="A19" s="63" t="s">
        <v>106</v>
      </c>
      <c r="B19" s="49"/>
      <c r="C19" s="49">
        <v>1200</v>
      </c>
      <c r="D19" s="49">
        <v>1200</v>
      </c>
      <c r="E19" s="553">
        <v>600</v>
      </c>
      <c r="F19" s="731">
        <v>600</v>
      </c>
      <c r="G19" s="731">
        <v>600</v>
      </c>
      <c r="H19" s="731">
        <v>600</v>
      </c>
    </row>
    <row r="20" spans="1:8" ht="18.75" customHeight="1" x14ac:dyDescent="0.3">
      <c r="A20" s="63" t="s">
        <v>269</v>
      </c>
      <c r="B20" s="49">
        <v>5367</v>
      </c>
      <c r="C20" s="49">
        <v>2500</v>
      </c>
      <c r="D20" s="49">
        <v>2000</v>
      </c>
      <c r="E20" s="553">
        <v>2500</v>
      </c>
      <c r="F20" s="731">
        <v>2500</v>
      </c>
      <c r="G20" s="731">
        <v>2500</v>
      </c>
      <c r="H20" s="731">
        <v>1500</v>
      </c>
    </row>
    <row r="21" spans="1:8" ht="18.75" customHeight="1" x14ac:dyDescent="0.3">
      <c r="A21" s="63" t="s">
        <v>281</v>
      </c>
      <c r="B21" s="49">
        <v>250</v>
      </c>
      <c r="C21" s="49">
        <v>650</v>
      </c>
      <c r="D21" s="49">
        <v>650</v>
      </c>
      <c r="E21" s="553">
        <v>750</v>
      </c>
      <c r="F21" s="731">
        <v>750</v>
      </c>
      <c r="G21" s="731">
        <v>750</v>
      </c>
      <c r="H21" s="731">
        <v>750</v>
      </c>
    </row>
    <row r="22" spans="1:8" ht="18.75" hidden="1" customHeight="1" x14ac:dyDescent="0.3">
      <c r="A22" s="63" t="s">
        <v>301</v>
      </c>
      <c r="B22" s="49">
        <v>2000</v>
      </c>
      <c r="C22" s="49">
        <v>1000</v>
      </c>
      <c r="D22" s="49">
        <v>750</v>
      </c>
      <c r="E22" s="49" t="s">
        <v>559</v>
      </c>
      <c r="F22" s="738" t="s">
        <v>559</v>
      </c>
      <c r="G22" s="738"/>
      <c r="H22" s="738"/>
    </row>
    <row r="23" spans="1:8" ht="18.75" customHeight="1" x14ac:dyDescent="0.3">
      <c r="A23" s="63" t="s">
        <v>384</v>
      </c>
      <c r="B23" s="49">
        <v>700</v>
      </c>
      <c r="C23" s="49">
        <v>750</v>
      </c>
      <c r="D23" s="49">
        <v>750</v>
      </c>
      <c r="E23" s="49">
        <v>750</v>
      </c>
      <c r="F23" s="738">
        <v>750</v>
      </c>
      <c r="G23" s="738">
        <v>750</v>
      </c>
      <c r="H23" s="738">
        <v>750</v>
      </c>
    </row>
    <row r="24" spans="1:8" ht="18.75" hidden="1" customHeight="1" x14ac:dyDescent="0.3">
      <c r="A24" s="63" t="s">
        <v>108</v>
      </c>
      <c r="B24" s="49">
        <v>10625</v>
      </c>
      <c r="C24" s="49">
        <v>2500</v>
      </c>
      <c r="D24" s="49">
        <v>3500</v>
      </c>
      <c r="E24" s="49">
        <v>0</v>
      </c>
      <c r="F24" s="738">
        <v>0</v>
      </c>
      <c r="G24" s="738">
        <v>0</v>
      </c>
      <c r="H24" s="738">
        <v>0</v>
      </c>
    </row>
    <row r="25" spans="1:8" ht="18.75" customHeight="1" x14ac:dyDescent="0.3">
      <c r="A25" s="63" t="s">
        <v>109</v>
      </c>
      <c r="B25" s="49">
        <v>4725</v>
      </c>
      <c r="C25" s="49">
        <v>5700</v>
      </c>
      <c r="D25" s="49">
        <v>6200</v>
      </c>
      <c r="E25" s="553">
        <v>15000</v>
      </c>
      <c r="F25" s="731">
        <v>15000</v>
      </c>
      <c r="G25" s="731">
        <v>0</v>
      </c>
      <c r="H25" s="731">
        <v>0</v>
      </c>
    </row>
    <row r="26" spans="1:8" ht="18.75" customHeight="1" x14ac:dyDescent="0.3">
      <c r="A26" s="63" t="s">
        <v>110</v>
      </c>
      <c r="B26" s="49">
        <v>200</v>
      </c>
      <c r="C26" s="49">
        <v>250</v>
      </c>
      <c r="D26" s="49">
        <v>350</v>
      </c>
      <c r="E26" s="49">
        <v>400</v>
      </c>
      <c r="F26" s="738">
        <v>400</v>
      </c>
      <c r="G26" s="738">
        <v>400</v>
      </c>
      <c r="H26" s="738">
        <v>800</v>
      </c>
    </row>
    <row r="27" spans="1:8" ht="18.75" customHeight="1" x14ac:dyDescent="0.3">
      <c r="A27" s="63" t="s">
        <v>270</v>
      </c>
      <c r="B27" s="49">
        <v>3000</v>
      </c>
      <c r="C27" s="49">
        <v>3500</v>
      </c>
      <c r="D27" s="49">
        <v>3500</v>
      </c>
      <c r="E27" s="49">
        <v>2500</v>
      </c>
      <c r="F27" s="738">
        <v>2500</v>
      </c>
      <c r="G27" s="738">
        <v>2500</v>
      </c>
      <c r="H27" s="738">
        <v>2500</v>
      </c>
    </row>
    <row r="28" spans="1:8" ht="18.75" customHeight="1" x14ac:dyDescent="0.3">
      <c r="A28" s="63" t="s">
        <v>673</v>
      </c>
      <c r="B28" s="49"/>
      <c r="C28" s="49"/>
      <c r="D28" s="49"/>
      <c r="E28" s="49"/>
      <c r="F28" s="738"/>
      <c r="G28" s="738">
        <v>4000</v>
      </c>
      <c r="H28" s="738">
        <v>7000</v>
      </c>
    </row>
    <row r="29" spans="1:8" ht="18.75" customHeight="1" x14ac:dyDescent="0.3">
      <c r="A29" s="63" t="s">
        <v>728</v>
      </c>
      <c r="B29" s="49"/>
      <c r="C29" s="49"/>
      <c r="D29" s="49"/>
      <c r="E29" s="49"/>
      <c r="F29" s="738">
        <v>0</v>
      </c>
      <c r="G29" s="738">
        <v>0</v>
      </c>
      <c r="H29" s="738">
        <v>2000</v>
      </c>
    </row>
    <row r="30" spans="1:8" ht="18.75" customHeight="1" x14ac:dyDescent="0.3">
      <c r="A30" s="63" t="s">
        <v>729</v>
      </c>
      <c r="B30" s="49"/>
      <c r="C30" s="49"/>
      <c r="D30" s="49"/>
      <c r="E30" s="49"/>
      <c r="F30" s="738">
        <v>0</v>
      </c>
      <c r="G30" s="738">
        <v>0</v>
      </c>
      <c r="H30" s="738">
        <v>2500</v>
      </c>
    </row>
    <row r="31" spans="1:8" ht="18.75" customHeight="1" thickBot="1" x14ac:dyDescent="0.35">
      <c r="A31" s="63"/>
      <c r="B31" s="49"/>
      <c r="C31" s="49"/>
      <c r="D31" s="49"/>
      <c r="E31" s="49"/>
      <c r="F31" s="738"/>
      <c r="G31" s="738"/>
      <c r="H31" s="738"/>
    </row>
    <row r="32" spans="1:8" ht="18.75" customHeight="1" thickTop="1" x14ac:dyDescent="0.3">
      <c r="A32" s="221" t="s">
        <v>128</v>
      </c>
      <c r="B32" s="89">
        <f t="shared" ref="B32:H32" si="0">SUM(B4:B31)</f>
        <v>122282</v>
      </c>
      <c r="C32" s="89">
        <f t="shared" si="0"/>
        <v>56350</v>
      </c>
      <c r="D32" s="89">
        <f t="shared" si="0"/>
        <v>56900</v>
      </c>
      <c r="E32" s="89">
        <f t="shared" si="0"/>
        <v>56000</v>
      </c>
      <c r="F32" s="770">
        <f t="shared" si="0"/>
        <v>58800</v>
      </c>
      <c r="G32" s="770">
        <f t="shared" si="0"/>
        <v>49400</v>
      </c>
      <c r="H32" s="770">
        <f t="shared" si="0"/>
        <v>57300</v>
      </c>
    </row>
    <row r="33" spans="1:3" ht="18.75" customHeight="1" x14ac:dyDescent="0.2">
      <c r="A33" s="127"/>
      <c r="B33" s="96"/>
      <c r="C33" s="96"/>
    </row>
  </sheetData>
  <sortState ref="A6:E27">
    <sortCondition ref="A6:A27"/>
  </sortState>
  <phoneticPr fontId="19" type="noConversion"/>
  <printOptions horizontalCentered="1"/>
  <pageMargins left="0.75" right="0.5" top="0.75" bottom="0.5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30"/>
  <sheetViews>
    <sheetView workbookViewId="0"/>
  </sheetViews>
  <sheetFormatPr defaultRowHeight="18.75" customHeight="1" x14ac:dyDescent="0.3"/>
  <cols>
    <col min="1" max="1" width="35.85546875" style="97" customWidth="1"/>
    <col min="2" max="2" width="13.140625" style="27" hidden="1" customWidth="1"/>
    <col min="3" max="4" width="11.7109375" style="27" hidden="1" customWidth="1"/>
    <col min="5" max="5" width="11" style="27" hidden="1" customWidth="1"/>
    <col min="6" max="7" width="11" style="27" customWidth="1"/>
    <col min="8" max="8" width="11" style="27" bestFit="1" customWidth="1"/>
    <col min="9" max="16384" width="9.140625" style="27"/>
  </cols>
  <sheetData>
    <row r="1" spans="1:8" s="46" customFormat="1" ht="21.75" customHeight="1" x14ac:dyDescent="0.3">
      <c r="A1" s="260" t="s">
        <v>292</v>
      </c>
      <c r="B1" s="203"/>
      <c r="C1" s="203"/>
      <c r="D1" s="203"/>
      <c r="E1" s="203"/>
      <c r="F1" s="203"/>
      <c r="G1" s="203"/>
      <c r="H1" s="203"/>
    </row>
    <row r="2" spans="1:8" ht="12.75" customHeight="1" x14ac:dyDescent="0.3">
      <c r="A2" s="98"/>
      <c r="B2" s="49"/>
      <c r="C2" s="49"/>
      <c r="D2" s="49"/>
      <c r="E2" s="49"/>
      <c r="F2" s="49"/>
      <c r="G2" s="49"/>
      <c r="H2" s="49"/>
    </row>
    <row r="3" spans="1:8" s="46" customFormat="1" ht="18.75" customHeight="1" x14ac:dyDescent="0.3">
      <c r="A3" s="41" t="s">
        <v>130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s="123" customFormat="1" ht="16.5" customHeight="1" x14ac:dyDescent="0.3">
      <c r="A4" s="98"/>
      <c r="B4" s="130"/>
      <c r="C4" s="130"/>
      <c r="D4" s="130"/>
      <c r="E4" s="130"/>
      <c r="F4" s="737"/>
      <c r="G4" s="737"/>
      <c r="H4" s="737"/>
    </row>
    <row r="5" spans="1:8" s="123" customFormat="1" ht="15.75" customHeight="1" x14ac:dyDescent="0.3">
      <c r="A5" s="116" t="s">
        <v>298</v>
      </c>
      <c r="B5" s="130"/>
      <c r="C5" s="130"/>
      <c r="D5" s="130"/>
      <c r="E5" s="130"/>
      <c r="F5" s="737"/>
      <c r="G5" s="737"/>
      <c r="H5" s="737"/>
    </row>
    <row r="6" spans="1:8" s="46" customFormat="1" ht="18.75" customHeight="1" x14ac:dyDescent="0.3">
      <c r="A6" s="63" t="s">
        <v>293</v>
      </c>
      <c r="B6" s="53">
        <v>4300</v>
      </c>
      <c r="C6" s="53">
        <v>5600</v>
      </c>
      <c r="D6" s="53">
        <f>100*52</f>
        <v>5200</v>
      </c>
      <c r="E6" s="53">
        <v>3500</v>
      </c>
      <c r="F6" s="738">
        <v>2000</v>
      </c>
      <c r="G6" s="738">
        <v>3000</v>
      </c>
      <c r="H6" s="738">
        <v>3000</v>
      </c>
    </row>
    <row r="7" spans="1:8" s="46" customFormat="1" ht="18.75" hidden="1" customHeight="1" x14ac:dyDescent="0.3">
      <c r="A7" s="63" t="s">
        <v>338</v>
      </c>
      <c r="B7" s="53">
        <v>15000</v>
      </c>
      <c r="C7" s="53"/>
      <c r="D7" s="53"/>
      <c r="E7" s="53"/>
      <c r="F7" s="738"/>
      <c r="G7" s="738"/>
      <c r="H7" s="738"/>
    </row>
    <row r="8" spans="1:8" s="46" customFormat="1" ht="18.75" hidden="1" customHeight="1" x14ac:dyDescent="0.3">
      <c r="A8" s="63" t="s">
        <v>385</v>
      </c>
      <c r="B8" s="53"/>
      <c r="C8" s="53"/>
      <c r="D8" s="53"/>
      <c r="E8" s="53"/>
      <c r="F8" s="738"/>
      <c r="G8" s="738"/>
      <c r="H8" s="738"/>
    </row>
    <row r="9" spans="1:8" ht="18.75" customHeight="1" x14ac:dyDescent="0.3">
      <c r="A9" s="63" t="s">
        <v>278</v>
      </c>
      <c r="B9" s="53">
        <v>1000</v>
      </c>
      <c r="C9" s="53">
        <v>450</v>
      </c>
      <c r="D9" s="53">
        <v>200</v>
      </c>
      <c r="E9" s="53">
        <v>200</v>
      </c>
      <c r="F9" s="738">
        <v>200</v>
      </c>
      <c r="G9" s="738">
        <v>300</v>
      </c>
      <c r="H9" s="738">
        <v>300</v>
      </c>
    </row>
    <row r="10" spans="1:8" ht="18.75" customHeight="1" x14ac:dyDescent="0.3">
      <c r="A10" s="63" t="s">
        <v>277</v>
      </c>
      <c r="B10" s="53">
        <v>1500</v>
      </c>
      <c r="C10" s="53">
        <v>1000</v>
      </c>
      <c r="D10" s="53">
        <v>1500</v>
      </c>
      <c r="E10" s="53">
        <v>1000</v>
      </c>
      <c r="F10" s="738">
        <v>1000</v>
      </c>
      <c r="G10" s="738">
        <v>1000</v>
      </c>
      <c r="H10" s="738">
        <v>1000</v>
      </c>
    </row>
    <row r="11" spans="1:8" ht="18.75" hidden="1" customHeight="1" x14ac:dyDescent="0.3">
      <c r="A11" s="63" t="s">
        <v>295</v>
      </c>
      <c r="B11" s="53">
        <v>600</v>
      </c>
      <c r="C11" s="53"/>
      <c r="D11" s="53"/>
      <c r="E11" s="53"/>
      <c r="F11" s="738"/>
      <c r="G11" s="738"/>
      <c r="H11" s="738"/>
    </row>
    <row r="12" spans="1:8" ht="18.75" hidden="1" customHeight="1" x14ac:dyDescent="0.3">
      <c r="A12" s="63" t="s">
        <v>297</v>
      </c>
      <c r="B12" s="53">
        <v>500</v>
      </c>
      <c r="C12" s="53"/>
      <c r="D12" s="53"/>
      <c r="E12" s="53"/>
      <c r="F12" s="738"/>
      <c r="G12" s="738"/>
      <c r="H12" s="738"/>
    </row>
    <row r="13" spans="1:8" ht="18.75" customHeight="1" x14ac:dyDescent="0.3">
      <c r="A13" s="63" t="s">
        <v>296</v>
      </c>
      <c r="B13" s="53">
        <v>900</v>
      </c>
      <c r="C13" s="53">
        <v>850</v>
      </c>
      <c r="D13" s="53">
        <v>850</v>
      </c>
      <c r="E13" s="53">
        <v>500</v>
      </c>
      <c r="F13" s="738">
        <v>500</v>
      </c>
      <c r="G13" s="738">
        <v>500</v>
      </c>
      <c r="H13" s="738">
        <v>500</v>
      </c>
    </row>
    <row r="14" spans="1:8" ht="18.75" customHeight="1" x14ac:dyDescent="0.3">
      <c r="A14" s="63" t="s">
        <v>294</v>
      </c>
      <c r="B14" s="53">
        <v>2000</v>
      </c>
      <c r="C14" s="53">
        <v>1000</v>
      </c>
      <c r="D14" s="53">
        <v>1500</v>
      </c>
      <c r="E14" s="53">
        <v>4500</v>
      </c>
      <c r="F14" s="738">
        <v>2500</v>
      </c>
      <c r="G14" s="738">
        <v>4500</v>
      </c>
      <c r="H14" s="738">
        <v>10000</v>
      </c>
    </row>
    <row r="15" spans="1:8" ht="18.75" customHeight="1" x14ac:dyDescent="0.3">
      <c r="A15" s="582" t="s">
        <v>594</v>
      </c>
      <c r="B15" s="857"/>
      <c r="C15" s="53"/>
      <c r="D15" s="53"/>
      <c r="E15" s="53">
        <f>150*40</f>
        <v>6000</v>
      </c>
      <c r="F15" s="738">
        <v>5000</v>
      </c>
      <c r="G15" s="738">
        <v>4500</v>
      </c>
      <c r="H15" s="738">
        <v>4500</v>
      </c>
    </row>
    <row r="16" spans="1:8" ht="18.75" customHeight="1" x14ac:dyDescent="0.3">
      <c r="A16" s="365"/>
      <c r="B16" s="857"/>
      <c r="C16" s="53"/>
      <c r="D16" s="53"/>
      <c r="E16" s="53"/>
      <c r="F16" s="738"/>
      <c r="G16" s="738"/>
      <c r="H16" s="738"/>
    </row>
    <row r="17" spans="1:8" ht="16.5" customHeight="1" x14ac:dyDescent="0.3">
      <c r="A17" s="55"/>
      <c r="B17" s="53"/>
      <c r="C17" s="53"/>
      <c r="D17" s="53"/>
      <c r="E17" s="53"/>
      <c r="F17" s="738"/>
      <c r="G17" s="738"/>
      <c r="H17" s="738"/>
    </row>
    <row r="18" spans="1:8" ht="16.5" customHeight="1" thickBot="1" x14ac:dyDescent="0.35">
      <c r="A18" s="288"/>
      <c r="B18" s="66"/>
      <c r="C18" s="858"/>
      <c r="D18" s="858"/>
      <c r="E18" s="858"/>
      <c r="F18" s="769"/>
      <c r="G18" s="769"/>
      <c r="H18" s="769"/>
    </row>
    <row r="19" spans="1:8" ht="18.75" customHeight="1" thickTop="1" x14ac:dyDescent="0.3">
      <c r="A19" s="103" t="s">
        <v>128</v>
      </c>
      <c r="B19" s="859">
        <f t="shared" ref="B19:D19" si="0">SUM(B4:B18)</f>
        <v>25800</v>
      </c>
      <c r="C19" s="859">
        <f t="shared" si="0"/>
        <v>8900</v>
      </c>
      <c r="D19" s="859">
        <f t="shared" si="0"/>
        <v>9250</v>
      </c>
      <c r="E19" s="859">
        <f>SUM(E4:E18)</f>
        <v>15700</v>
      </c>
      <c r="F19" s="770">
        <f>SUM(F4:F18)</f>
        <v>11200</v>
      </c>
      <c r="G19" s="770">
        <f>SUM(G4:G18)</f>
        <v>13800</v>
      </c>
      <c r="H19" s="770">
        <f>SUM(H4:H18)</f>
        <v>19300</v>
      </c>
    </row>
    <row r="20" spans="1:8" ht="8.25" customHeight="1" x14ac:dyDescent="0.3"/>
    <row r="21" spans="1:8" ht="15" customHeight="1" x14ac:dyDescent="0.3">
      <c r="A21"/>
      <c r="B21"/>
      <c r="C21"/>
      <c r="D21"/>
      <c r="E21"/>
      <c r="F21"/>
      <c r="G21"/>
      <c r="H21"/>
    </row>
    <row r="22" spans="1:8" ht="15" customHeight="1" x14ac:dyDescent="0.3">
      <c r="A22"/>
      <c r="B22"/>
      <c r="C22"/>
      <c r="D22"/>
      <c r="E22"/>
      <c r="F22"/>
      <c r="G22"/>
      <c r="H22"/>
    </row>
    <row r="23" spans="1:8" ht="15" customHeight="1" x14ac:dyDescent="0.3">
      <c r="A23"/>
      <c r="B23"/>
      <c r="C23"/>
      <c r="D23"/>
      <c r="E23"/>
      <c r="F23"/>
      <c r="G23"/>
      <c r="H23"/>
    </row>
    <row r="24" spans="1:8" ht="15" customHeight="1" x14ac:dyDescent="0.3">
      <c r="A24"/>
      <c r="B24"/>
      <c r="C24"/>
      <c r="D24"/>
      <c r="E24"/>
      <c r="F24"/>
      <c r="G24"/>
      <c r="H24"/>
    </row>
    <row r="25" spans="1:8" ht="15" customHeight="1" x14ac:dyDescent="0.3">
      <c r="A25"/>
      <c r="B25"/>
      <c r="C25"/>
      <c r="D25"/>
      <c r="E25"/>
      <c r="F25"/>
      <c r="G25"/>
      <c r="H25"/>
    </row>
    <row r="26" spans="1:8" ht="15" customHeight="1" x14ac:dyDescent="0.3">
      <c r="A26"/>
      <c r="B26"/>
      <c r="C26"/>
      <c r="D26"/>
      <c r="E26"/>
      <c r="F26"/>
      <c r="G26"/>
      <c r="H26"/>
    </row>
    <row r="27" spans="1:8" ht="15" customHeight="1" x14ac:dyDescent="0.3">
      <c r="A27"/>
      <c r="B27"/>
      <c r="C27"/>
      <c r="D27"/>
      <c r="E27"/>
      <c r="F27"/>
      <c r="G27"/>
      <c r="H27"/>
    </row>
    <row r="28" spans="1:8" ht="15" customHeight="1" x14ac:dyDescent="0.3">
      <c r="A28"/>
      <c r="B28"/>
      <c r="C28"/>
      <c r="D28"/>
      <c r="E28"/>
      <c r="F28"/>
      <c r="G28"/>
      <c r="H28"/>
    </row>
    <row r="29" spans="1:8" ht="18.75" customHeight="1" x14ac:dyDescent="0.3">
      <c r="A29"/>
      <c r="B29"/>
      <c r="C29"/>
      <c r="D29"/>
      <c r="E29"/>
      <c r="F29"/>
      <c r="G29"/>
      <c r="H29"/>
    </row>
    <row r="30" spans="1:8" ht="18.75" customHeight="1" x14ac:dyDescent="0.3">
      <c r="A30"/>
      <c r="B30"/>
      <c r="C30"/>
      <c r="D30"/>
      <c r="E30"/>
      <c r="F30"/>
      <c r="G30"/>
      <c r="H30"/>
    </row>
  </sheetData>
  <sortState ref="A14:E15">
    <sortCondition ref="A14:A1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3"/>
  <sheetViews>
    <sheetView workbookViewId="0"/>
  </sheetViews>
  <sheetFormatPr defaultRowHeight="12.75" x14ac:dyDescent="0.2"/>
  <cols>
    <col min="1" max="1" width="39" customWidth="1"/>
    <col min="2" max="2" width="12.42578125" hidden="1" customWidth="1"/>
    <col min="3" max="4" width="12.7109375" hidden="1" customWidth="1"/>
    <col min="5" max="7" width="12.7109375" customWidth="1"/>
  </cols>
  <sheetData>
    <row r="1" spans="1:7" ht="23.25" customHeight="1" x14ac:dyDescent="0.25">
      <c r="A1" s="260" t="s">
        <v>365</v>
      </c>
      <c r="B1" s="260"/>
      <c r="C1" s="260"/>
      <c r="D1" s="260"/>
      <c r="E1" s="260"/>
      <c r="F1" s="260"/>
      <c r="G1" s="260"/>
    </row>
    <row r="2" spans="1:7" ht="25.5" customHeight="1" x14ac:dyDescent="0.3">
      <c r="A2" s="109" t="s">
        <v>130</v>
      </c>
      <c r="B2" s="109">
        <v>2013</v>
      </c>
      <c r="C2" s="109">
        <v>2014</v>
      </c>
      <c r="D2" s="109">
        <v>2015</v>
      </c>
      <c r="E2" s="109">
        <v>2016</v>
      </c>
      <c r="F2" s="109">
        <v>2017</v>
      </c>
      <c r="G2" s="109">
        <v>2018</v>
      </c>
    </row>
    <row r="3" spans="1:7" ht="18.95" customHeight="1" x14ac:dyDescent="0.2">
      <c r="A3" s="276"/>
      <c r="B3" s="276"/>
      <c r="C3" s="276"/>
      <c r="D3" s="276"/>
      <c r="E3" s="755"/>
      <c r="F3" s="755"/>
      <c r="G3" s="755"/>
    </row>
    <row r="4" spans="1:7" ht="18.95" customHeight="1" x14ac:dyDescent="0.3">
      <c r="A4" s="63" t="s">
        <v>366</v>
      </c>
      <c r="B4" s="551">
        <v>2100</v>
      </c>
      <c r="C4" s="551">
        <v>2300</v>
      </c>
      <c r="D4" s="551">
        <v>2300</v>
      </c>
      <c r="E4" s="685">
        <v>2300</v>
      </c>
      <c r="F4" s="685">
        <v>2300</v>
      </c>
      <c r="G4" s="685">
        <v>2300</v>
      </c>
    </row>
    <row r="5" spans="1:7" ht="22.5" customHeight="1" x14ac:dyDescent="0.3">
      <c r="A5" s="63" t="s">
        <v>370</v>
      </c>
      <c r="B5" s="42">
        <v>275</v>
      </c>
      <c r="C5" s="42">
        <v>300</v>
      </c>
      <c r="D5" s="42">
        <v>300</v>
      </c>
      <c r="E5" s="686">
        <v>300</v>
      </c>
      <c r="F5" s="686">
        <v>300</v>
      </c>
      <c r="G5" s="686">
        <v>300</v>
      </c>
    </row>
    <row r="6" spans="1:7" ht="18.95" customHeight="1" x14ac:dyDescent="0.3">
      <c r="A6" s="853"/>
      <c r="B6" s="42"/>
      <c r="C6" s="42"/>
      <c r="D6" s="42"/>
      <c r="E6" s="686"/>
      <c r="F6" s="686"/>
      <c r="G6" s="686"/>
    </row>
    <row r="7" spans="1:7" ht="18.95" customHeight="1" x14ac:dyDescent="0.3">
      <c r="A7" s="854"/>
      <c r="B7" s="551"/>
      <c r="C7" s="551"/>
      <c r="D7" s="551"/>
      <c r="E7" s="685"/>
      <c r="F7" s="685"/>
      <c r="G7" s="685"/>
    </row>
    <row r="8" spans="1:7" ht="18.95" customHeight="1" x14ac:dyDescent="0.3">
      <c r="A8" s="110"/>
      <c r="B8" s="105"/>
      <c r="C8" s="105"/>
      <c r="D8" s="105"/>
      <c r="E8" s="731"/>
      <c r="F8" s="731"/>
      <c r="G8" s="731"/>
    </row>
    <row r="9" spans="1:7" ht="33.75" customHeight="1" x14ac:dyDescent="0.3">
      <c r="A9" s="855"/>
      <c r="B9" s="42"/>
      <c r="C9" s="42"/>
      <c r="D9" s="42"/>
      <c r="E9" s="686"/>
      <c r="F9" s="686"/>
      <c r="G9" s="686"/>
    </row>
    <row r="10" spans="1:7" ht="18.95" customHeight="1" x14ac:dyDescent="0.3">
      <c r="A10" s="856"/>
      <c r="B10" s="105"/>
      <c r="C10" s="105"/>
      <c r="D10" s="105"/>
      <c r="E10" s="731"/>
      <c r="F10" s="731"/>
      <c r="G10" s="731"/>
    </row>
    <row r="11" spans="1:7" ht="18.95" customHeight="1" thickBot="1" x14ac:dyDescent="0.35">
      <c r="A11" s="55"/>
      <c r="B11" s="42"/>
      <c r="C11" s="42"/>
      <c r="D11" s="42"/>
      <c r="E11" s="686"/>
      <c r="F11" s="686"/>
      <c r="G11" s="686"/>
    </row>
    <row r="12" spans="1:7" ht="18.95" customHeight="1" thickTop="1" x14ac:dyDescent="0.3">
      <c r="A12" s="103" t="s">
        <v>128</v>
      </c>
      <c r="B12" s="112">
        <f t="shared" ref="B12:G12" si="0">SUM(B4:B11)</f>
        <v>2375</v>
      </c>
      <c r="C12" s="112">
        <f t="shared" si="0"/>
        <v>2600</v>
      </c>
      <c r="D12" s="112">
        <f t="shared" si="0"/>
        <v>2600</v>
      </c>
      <c r="E12" s="766">
        <f t="shared" si="0"/>
        <v>2600</v>
      </c>
      <c r="F12" s="766">
        <f t="shared" si="0"/>
        <v>2600</v>
      </c>
      <c r="G12" s="766">
        <f t="shared" si="0"/>
        <v>2600</v>
      </c>
    </row>
    <row r="13" spans="1:7" x14ac:dyDescent="0.2">
      <c r="A13" s="261"/>
      <c r="B13" s="24"/>
      <c r="C13" s="24"/>
      <c r="D13" s="249"/>
      <c r="E13" s="249"/>
      <c r="F13" s="249"/>
      <c r="G13" s="249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0"/>
  <sheetViews>
    <sheetView workbookViewId="0"/>
  </sheetViews>
  <sheetFormatPr defaultRowHeight="12.75" x14ac:dyDescent="0.2"/>
  <cols>
    <col min="1" max="1" width="44.5703125" style="24" bestFit="1" customWidth="1"/>
    <col min="2" max="4" width="11.28515625" style="24" hidden="1" customWidth="1"/>
    <col min="5" max="5" width="11.5703125" style="24" customWidth="1"/>
    <col min="6" max="8" width="11.28515625" style="24" customWidth="1"/>
    <col min="9" max="12" width="9.140625" style="24"/>
    <col min="13" max="13" width="10.7109375" style="24" bestFit="1" customWidth="1"/>
    <col min="14" max="16384" width="9.140625" style="24"/>
  </cols>
  <sheetData>
    <row r="1" spans="1:13" ht="16.5" x14ac:dyDescent="0.3">
      <c r="A1" s="216" t="s">
        <v>642</v>
      </c>
      <c r="B1" s="203"/>
      <c r="C1" s="203"/>
      <c r="D1" s="203"/>
      <c r="E1" s="203"/>
      <c r="F1" s="203"/>
      <c r="G1" s="203"/>
      <c r="H1" s="111"/>
    </row>
    <row r="2" spans="1:13" ht="18.75" customHeight="1" x14ac:dyDescent="0.3">
      <c r="A2" s="814"/>
      <c r="B2" s="815"/>
      <c r="C2" s="815"/>
      <c r="D2" s="815"/>
      <c r="E2" s="815"/>
      <c r="F2" s="815"/>
      <c r="G2" s="815"/>
      <c r="H2" s="111"/>
    </row>
    <row r="3" spans="1:13" ht="18.75" customHeight="1" x14ac:dyDescent="0.3">
      <c r="A3" s="191" t="s">
        <v>130</v>
      </c>
      <c r="B3" s="406">
        <v>2013</v>
      </c>
      <c r="C3" s="406">
        <v>2014</v>
      </c>
      <c r="D3" s="406">
        <v>2015</v>
      </c>
      <c r="E3" s="406">
        <v>2016</v>
      </c>
      <c r="F3" s="406">
        <v>2017</v>
      </c>
      <c r="G3" s="406">
        <v>2018</v>
      </c>
      <c r="H3" s="111"/>
    </row>
    <row r="4" spans="1:13" ht="20.100000000000001" customHeight="1" x14ac:dyDescent="0.3">
      <c r="A4" s="69" t="s">
        <v>212</v>
      </c>
      <c r="B4" s="107">
        <v>148260</v>
      </c>
      <c r="C4" s="107">
        <v>156333.63</v>
      </c>
      <c r="D4" s="107">
        <v>164446.14000000001</v>
      </c>
      <c r="E4" s="765">
        <v>168094.01</v>
      </c>
      <c r="F4" s="765">
        <v>174842</v>
      </c>
      <c r="G4" s="765">
        <f>'642 PAYROLL'!K47*0.0765</f>
        <v>192048.34366944002</v>
      </c>
      <c r="H4" s="816"/>
      <c r="I4"/>
      <c r="J4" s="475"/>
    </row>
    <row r="5" spans="1:13" ht="20.100000000000001" customHeight="1" x14ac:dyDescent="0.3">
      <c r="A5" s="66" t="s">
        <v>452</v>
      </c>
      <c r="B5" s="107">
        <v>5250</v>
      </c>
      <c r="C5" s="107">
        <v>5250</v>
      </c>
      <c r="D5" s="107">
        <v>5250</v>
      </c>
      <c r="E5" s="765">
        <v>5250</v>
      </c>
      <c r="F5" s="765">
        <v>5250</v>
      </c>
      <c r="G5" s="765">
        <v>5250</v>
      </c>
      <c r="H5" s="817"/>
    </row>
    <row r="6" spans="1:13" ht="20.100000000000001" customHeight="1" x14ac:dyDescent="0.3">
      <c r="A6" s="818" t="s">
        <v>279</v>
      </c>
      <c r="B6" s="819">
        <v>240759.72</v>
      </c>
      <c r="C6" s="997">
        <v>349857.84</v>
      </c>
      <c r="D6" s="997">
        <v>376097.18</v>
      </c>
      <c r="E6" s="1003">
        <v>404304.47</v>
      </c>
      <c r="F6" s="1003">
        <f>(40000*12)-86000</f>
        <v>394000</v>
      </c>
      <c r="G6" s="1003">
        <f>(40000*12)-86000</f>
        <v>394000</v>
      </c>
      <c r="H6" s="999">
        <f>(G6+G8)</f>
        <v>394000</v>
      </c>
      <c r="I6" s="377"/>
    </row>
    <row r="7" spans="1:13" ht="20.100000000000001" customHeight="1" x14ac:dyDescent="0.3">
      <c r="A7" s="66" t="s">
        <v>291</v>
      </c>
      <c r="B7" s="820"/>
      <c r="C7" s="998"/>
      <c r="D7" s="998"/>
      <c r="E7" s="1004"/>
      <c r="F7" s="1004"/>
      <c r="G7" s="1004"/>
      <c r="H7" s="1000"/>
      <c r="I7" s="377"/>
      <c r="M7" s="251"/>
    </row>
    <row r="8" spans="1:13" ht="20.100000000000001" customHeight="1" x14ac:dyDescent="0.3">
      <c r="A8" s="113" t="s">
        <v>637</v>
      </c>
      <c r="B8" s="646">
        <v>-25813</v>
      </c>
      <c r="C8" s="821">
        <v>-82791.240000000005</v>
      </c>
      <c r="D8" s="821">
        <v>-65497.18</v>
      </c>
      <c r="E8" s="822">
        <v>-40000</v>
      </c>
      <c r="F8" s="822">
        <v>0</v>
      </c>
      <c r="G8" s="822">
        <v>0</v>
      </c>
      <c r="H8" s="1001"/>
      <c r="I8" s="377"/>
    </row>
    <row r="9" spans="1:13" ht="20.100000000000001" customHeight="1" x14ac:dyDescent="0.3">
      <c r="A9" s="823" t="s">
        <v>506</v>
      </c>
      <c r="B9" s="824">
        <v>10437.700000000001</v>
      </c>
      <c r="C9" s="824">
        <v>10600</v>
      </c>
      <c r="D9" s="824">
        <v>10600</v>
      </c>
      <c r="E9" s="825">
        <v>11000</v>
      </c>
      <c r="F9" s="825">
        <f>(1600*12)-7200</f>
        <v>12000</v>
      </c>
      <c r="G9" s="825">
        <f>(1600*12)-7200</f>
        <v>12000</v>
      </c>
      <c r="H9" s="826"/>
      <c r="I9" s="92"/>
    </row>
    <row r="10" spans="1:13" ht="20.100000000000001" customHeight="1" x14ac:dyDescent="0.3">
      <c r="A10" s="827" t="s">
        <v>698</v>
      </c>
      <c r="B10" s="828">
        <v>8048</v>
      </c>
      <c r="C10" s="828">
        <v>11500</v>
      </c>
      <c r="D10" s="828">
        <v>13600</v>
      </c>
      <c r="E10" s="829">
        <v>13600</v>
      </c>
      <c r="F10" s="829">
        <v>13600</v>
      </c>
      <c r="G10" s="829">
        <v>13600</v>
      </c>
      <c r="H10" s="999">
        <f>G10+G11+G12</f>
        <v>16600</v>
      </c>
      <c r="J10" s="351"/>
    </row>
    <row r="11" spans="1:13" ht="20.100000000000001" hidden="1" customHeight="1" x14ac:dyDescent="0.3">
      <c r="A11" s="110" t="s">
        <v>699</v>
      </c>
      <c r="B11" s="197">
        <v>2452</v>
      </c>
      <c r="C11" s="197"/>
      <c r="D11" s="197"/>
      <c r="E11" s="676">
        <v>0</v>
      </c>
      <c r="F11" s="676">
        <v>0</v>
      </c>
      <c r="G11" s="676">
        <v>0</v>
      </c>
      <c r="H11" s="1000"/>
      <c r="J11" s="351"/>
    </row>
    <row r="12" spans="1:13" ht="20.100000000000001" customHeight="1" x14ac:dyDescent="0.3">
      <c r="A12" s="830" t="s">
        <v>335</v>
      </c>
      <c r="B12" s="646">
        <v>3000</v>
      </c>
      <c r="C12" s="646">
        <v>2100</v>
      </c>
      <c r="D12" s="646">
        <v>3000</v>
      </c>
      <c r="E12" s="678">
        <v>3000</v>
      </c>
      <c r="F12" s="678">
        <v>3000</v>
      </c>
      <c r="G12" s="678">
        <v>3000</v>
      </c>
      <c r="H12" s="1001"/>
      <c r="I12" s="377"/>
      <c r="J12" s="550"/>
    </row>
    <row r="13" spans="1:13" ht="20.100000000000001" customHeight="1" x14ac:dyDescent="0.3">
      <c r="A13" s="818" t="s">
        <v>213</v>
      </c>
      <c r="B13" s="831">
        <v>36743.928508249599</v>
      </c>
      <c r="C13" s="831">
        <v>36743.93</v>
      </c>
      <c r="D13" s="831">
        <v>37225.24</v>
      </c>
      <c r="E13" s="832">
        <v>38202.44</v>
      </c>
      <c r="F13" s="832">
        <v>39645</v>
      </c>
      <c r="G13" s="832">
        <f>'642 PAYROLL'!K37/100*'642 PAYROLL'!I54*'642 PAYROLL'!J54*'642 PAYROLL'!K54</f>
        <v>47894.070788157449</v>
      </c>
      <c r="H13" s="995">
        <f>SUM(G13:G18)</f>
        <v>49591.548018569214</v>
      </c>
      <c r="M13" s="251"/>
    </row>
    <row r="14" spans="1:13" ht="20.100000000000001" customHeight="1" x14ac:dyDescent="0.3">
      <c r="A14" s="54" t="s">
        <v>214</v>
      </c>
      <c r="B14" s="108">
        <v>1046.0347559270401</v>
      </c>
      <c r="C14" s="108">
        <v>1046.03</v>
      </c>
      <c r="D14" s="108">
        <v>1370.91</v>
      </c>
      <c r="E14" s="833">
        <v>1385.5</v>
      </c>
      <c r="F14" s="833">
        <v>1462</v>
      </c>
      <c r="G14" s="833">
        <f>('642 PAYROLL'!K45-'642 PAYROLL'!K44)/100*'642 PAYROLL'!I55*'642 PAYROLL'!J55*'642 PAYROLL'!K55</f>
        <v>973.2724304117761</v>
      </c>
      <c r="H14" s="1002"/>
    </row>
    <row r="15" spans="1:13" ht="20.100000000000001" customHeight="1" x14ac:dyDescent="0.3">
      <c r="A15" s="66" t="s">
        <v>47</v>
      </c>
      <c r="B15" s="108">
        <v>443.52</v>
      </c>
      <c r="C15" s="108">
        <v>443.52</v>
      </c>
      <c r="D15" s="108">
        <v>443.52</v>
      </c>
      <c r="E15" s="833">
        <f>'642 PAYROLL'!G57</f>
        <v>443.52</v>
      </c>
      <c r="F15" s="833">
        <v>444</v>
      </c>
      <c r="G15" s="833">
        <f>'642 PAYROLL'!G57</f>
        <v>443.52</v>
      </c>
      <c r="H15" s="1002"/>
    </row>
    <row r="16" spans="1:13" ht="20.100000000000001" customHeight="1" x14ac:dyDescent="0.3">
      <c r="A16" s="66" t="s">
        <v>411</v>
      </c>
      <c r="B16" s="108">
        <v>272.44800000000004</v>
      </c>
      <c r="C16" s="108">
        <v>272.45</v>
      </c>
      <c r="D16" s="108">
        <v>211.9</v>
      </c>
      <c r="E16" s="833">
        <f>'642 PAYROLL'!K44/100*'642 PAYROLL'!I57*'642 PAYROLL'!J57*'642 PAYROLL'!K57</f>
        <v>272.44800000000004</v>
      </c>
      <c r="F16" s="833">
        <v>212</v>
      </c>
      <c r="G16" s="833">
        <f>'642 PAYROLL'!K44/100*'642 PAYROLL'!I57*'642 PAYROLL'!J57*'642 PAYROLL'!K57</f>
        <v>272.44800000000004</v>
      </c>
      <c r="H16" s="1002"/>
    </row>
    <row r="17" spans="1:8" ht="20.100000000000001" customHeight="1" x14ac:dyDescent="0.3">
      <c r="A17" s="66" t="s">
        <v>420</v>
      </c>
      <c r="B17" s="834">
        <v>8.2368000000000006</v>
      </c>
      <c r="C17" s="834">
        <v>8.24</v>
      </c>
      <c r="D17" s="834">
        <v>8.24</v>
      </c>
      <c r="E17" s="835">
        <f>3000/100*'642 PAYROLL'!I58*'642 PAYROLL'!J58*'642 PAYROLL'!K58</f>
        <v>8.2368000000000006</v>
      </c>
      <c r="F17" s="835">
        <v>8</v>
      </c>
      <c r="G17" s="835">
        <f>3000/100*'642 PAYROLL'!I58*'642 PAYROLL'!J58*'642 PAYROLL'!K58</f>
        <v>8.2368000000000006</v>
      </c>
      <c r="H17" s="1002"/>
    </row>
    <row r="18" spans="1:8" ht="20.100000000000001" customHeight="1" x14ac:dyDescent="0.3">
      <c r="A18" s="113" t="s">
        <v>391</v>
      </c>
      <c r="B18" s="836">
        <v>-1589</v>
      </c>
      <c r="C18" s="836">
        <v>-1589</v>
      </c>
      <c r="D18" s="836">
        <v>-1589</v>
      </c>
      <c r="E18" s="837">
        <v>-1589</v>
      </c>
      <c r="F18" s="837">
        <v>0</v>
      </c>
      <c r="G18" s="837">
        <f>'642 PAYROLL'!G60</f>
        <v>0</v>
      </c>
      <c r="H18" s="996"/>
    </row>
    <row r="19" spans="1:8" ht="20.100000000000001" customHeight="1" x14ac:dyDescent="0.3">
      <c r="A19" s="66" t="s">
        <v>513</v>
      </c>
      <c r="B19" s="108">
        <v>15000</v>
      </c>
      <c r="C19" s="108">
        <v>15000</v>
      </c>
      <c r="D19" s="108">
        <v>20000</v>
      </c>
      <c r="E19" s="833">
        <v>22000</v>
      </c>
      <c r="F19" s="833">
        <v>22000</v>
      </c>
      <c r="G19" s="833">
        <v>18000</v>
      </c>
      <c r="H19" s="838"/>
    </row>
    <row r="20" spans="1:8" ht="20.100000000000001" customHeight="1" x14ac:dyDescent="0.3">
      <c r="A20" s="839" t="s">
        <v>181</v>
      </c>
      <c r="B20" s="840">
        <v>480</v>
      </c>
      <c r="C20" s="840">
        <v>480</v>
      </c>
      <c r="D20" s="840">
        <v>480</v>
      </c>
      <c r="E20" s="841">
        <f>40*12</f>
        <v>480</v>
      </c>
      <c r="F20" s="841">
        <f>40*12</f>
        <v>480</v>
      </c>
      <c r="G20" s="841">
        <f>40*12</f>
        <v>480</v>
      </c>
      <c r="H20" s="995">
        <f>G20+G21+G22</f>
        <v>10872</v>
      </c>
    </row>
    <row r="21" spans="1:8" ht="20.100000000000001" customHeight="1" x14ac:dyDescent="0.3">
      <c r="A21" s="69" t="s">
        <v>25</v>
      </c>
      <c r="B21" s="842">
        <v>9500</v>
      </c>
      <c r="C21" s="842">
        <v>9500</v>
      </c>
      <c r="D21" s="842">
        <v>10392</v>
      </c>
      <c r="E21" s="843">
        <f>866*12</f>
        <v>10392</v>
      </c>
      <c r="F21" s="843">
        <f>866*12</f>
        <v>10392</v>
      </c>
      <c r="G21" s="843">
        <f>866*12</f>
        <v>10392</v>
      </c>
      <c r="H21" s="996"/>
    </row>
    <row r="22" spans="1:8" ht="20.100000000000001" hidden="1" customHeight="1" x14ac:dyDescent="0.3">
      <c r="A22" s="69" t="s">
        <v>372</v>
      </c>
      <c r="B22" s="842">
        <v>0</v>
      </c>
      <c r="C22" s="842">
        <v>0</v>
      </c>
      <c r="D22" s="842">
        <v>0</v>
      </c>
      <c r="E22" s="843"/>
      <c r="F22" s="843"/>
      <c r="G22" s="843"/>
      <c r="H22" s="837"/>
    </row>
    <row r="23" spans="1:8" ht="20.100000000000001" customHeight="1" x14ac:dyDescent="0.3">
      <c r="A23" s="839" t="s">
        <v>325</v>
      </c>
      <c r="B23" s="844">
        <v>2000</v>
      </c>
      <c r="C23" s="844">
        <v>2000</v>
      </c>
      <c r="D23" s="844">
        <v>2000</v>
      </c>
      <c r="E23" s="845">
        <v>2000</v>
      </c>
      <c r="F23" s="845">
        <v>2000</v>
      </c>
      <c r="G23" s="845">
        <v>2000</v>
      </c>
      <c r="H23" s="846"/>
    </row>
    <row r="24" spans="1:8" ht="20.100000000000001" customHeight="1" x14ac:dyDescent="0.3">
      <c r="A24" s="847" t="s">
        <v>347</v>
      </c>
      <c r="B24" s="848">
        <v>177485.82</v>
      </c>
      <c r="C24" s="848">
        <v>189168.64000000001</v>
      </c>
      <c r="D24" s="848">
        <v>201448.4</v>
      </c>
      <c r="E24" s="849">
        <v>206173.94</v>
      </c>
      <c r="F24" s="849">
        <v>214551</v>
      </c>
      <c r="G24" s="849">
        <f>'642 PAYROLL'!G64</f>
        <v>332430.83419840015</v>
      </c>
      <c r="H24" s="846"/>
    </row>
    <row r="25" spans="1:8" ht="20.100000000000001" customHeight="1" x14ac:dyDescent="0.3">
      <c r="A25" s="850"/>
      <c r="B25" s="828"/>
      <c r="C25" s="828"/>
      <c r="D25" s="828"/>
      <c r="E25" s="829"/>
      <c r="F25" s="829"/>
      <c r="G25" s="829"/>
      <c r="H25" s="846"/>
    </row>
    <row r="26" spans="1:8" ht="20.100000000000001" customHeight="1" x14ac:dyDescent="0.3">
      <c r="A26" s="851"/>
      <c r="B26" s="646"/>
      <c r="C26" s="646"/>
      <c r="D26" s="646"/>
      <c r="E26" s="678"/>
      <c r="F26" s="678"/>
      <c r="G26" s="678"/>
      <c r="H26" s="846"/>
    </row>
    <row r="27" spans="1:8" ht="20.100000000000001" customHeight="1" x14ac:dyDescent="0.3">
      <c r="A27" s="852" t="s">
        <v>178</v>
      </c>
      <c r="B27" s="379">
        <f>SUM(B4:B26)</f>
        <v>633785.40806417656</v>
      </c>
      <c r="C27" s="379">
        <f>SUM(C4:C26)</f>
        <v>705924.04</v>
      </c>
      <c r="D27" s="379">
        <f>SUM(D4:D26)</f>
        <v>779487.35000000021</v>
      </c>
      <c r="E27" s="750">
        <f>SUM(E4:E26)-0.01</f>
        <v>845017.55479999981</v>
      </c>
      <c r="F27" s="750">
        <f>SUM(F4:F26)</f>
        <v>893886</v>
      </c>
      <c r="G27" s="750">
        <f>SUM(G4:G26)</f>
        <v>1032792.7258864093</v>
      </c>
      <c r="H27" s="846"/>
    </row>
    <row r="28" spans="1:8" ht="11.25" customHeight="1" x14ac:dyDescent="0.2">
      <c r="D28" s="92"/>
      <c r="E28" s="92"/>
      <c r="F28" s="92"/>
      <c r="G28" s="92"/>
    </row>
    <row r="29" spans="1:8" x14ac:dyDescent="0.2">
      <c r="D29" s="325"/>
      <c r="E29" s="325"/>
      <c r="F29" s="325"/>
      <c r="G29" s="325"/>
    </row>
    <row r="30" spans="1:8" ht="15.75" customHeight="1" x14ac:dyDescent="0.2"/>
  </sheetData>
  <mergeCells count="9">
    <mergeCell ref="H20:H21"/>
    <mergeCell ref="C6:C7"/>
    <mergeCell ref="D6:D7"/>
    <mergeCell ref="H6:H8"/>
    <mergeCell ref="H10:H12"/>
    <mergeCell ref="H13:H18"/>
    <mergeCell ref="G6:G7"/>
    <mergeCell ref="E6:E7"/>
    <mergeCell ref="F6:F7"/>
  </mergeCells>
  <pageMargins left="0.7" right="0.7" top="0.75" bottom="0.75" header="0.3" footer="0.3"/>
  <pageSetup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69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8.28515625" style="24" customWidth="1"/>
    <col min="2" max="2" width="4.140625" style="24" customWidth="1"/>
    <col min="3" max="3" width="8.28515625" style="24" customWidth="1"/>
    <col min="4" max="4" width="4" style="24" bestFit="1" customWidth="1"/>
    <col min="5" max="5" width="10.7109375" style="24" customWidth="1"/>
    <col min="6" max="6" width="11.140625" style="24" customWidth="1"/>
    <col min="7" max="7" width="13" style="24" customWidth="1"/>
    <col min="8" max="8" width="6.140625" style="377" customWidth="1"/>
    <col min="9" max="9" width="6.140625" style="24" customWidth="1"/>
    <col min="10" max="10" width="7.7109375" style="24" customWidth="1"/>
    <col min="11" max="11" width="11.7109375" style="24" customWidth="1"/>
    <col min="12" max="12" width="9.28515625" style="24" customWidth="1"/>
    <col min="13" max="13" width="10.7109375" style="24" customWidth="1"/>
    <col min="14" max="14" width="6.5703125" style="24" customWidth="1"/>
    <col min="15" max="15" width="9.85546875" style="24" customWidth="1"/>
    <col min="16" max="16" width="11.28515625" style="24" bestFit="1" customWidth="1"/>
    <col min="17" max="17" width="11.5703125" style="24" bestFit="1" customWidth="1"/>
    <col min="18" max="16384" width="9.140625" style="24"/>
  </cols>
  <sheetData>
    <row r="1" spans="1:19" ht="18" x14ac:dyDescent="0.25">
      <c r="A1" s="559" t="s">
        <v>54</v>
      </c>
      <c r="B1" s="560" t="s">
        <v>55</v>
      </c>
      <c r="C1" s="560" t="s">
        <v>56</v>
      </c>
      <c r="D1" s="560" t="s">
        <v>57</v>
      </c>
      <c r="E1" s="560" t="s">
        <v>324</v>
      </c>
      <c r="F1" s="560" t="s">
        <v>390</v>
      </c>
      <c r="G1" s="560" t="s">
        <v>58</v>
      </c>
      <c r="H1" s="560" t="s">
        <v>511</v>
      </c>
      <c r="I1" s="560" t="s">
        <v>512</v>
      </c>
      <c r="J1" s="560" t="s">
        <v>614</v>
      </c>
      <c r="K1" s="560" t="s">
        <v>436</v>
      </c>
      <c r="L1" s="560" t="s">
        <v>333</v>
      </c>
      <c r="M1" s="923" t="s">
        <v>688</v>
      </c>
    </row>
    <row r="2" spans="1:19" x14ac:dyDescent="0.2">
      <c r="A2" s="538" t="s">
        <v>738</v>
      </c>
      <c r="B2" s="387">
        <v>26</v>
      </c>
      <c r="C2" s="474">
        <f>M3+I2+H2</f>
        <v>33.42</v>
      </c>
      <c r="D2" s="387">
        <v>26</v>
      </c>
      <c r="E2" s="474">
        <f t="shared" ref="E2" si="0">106*C2*D2</f>
        <v>92105.52</v>
      </c>
      <c r="F2" s="474">
        <f t="shared" ref="F2" si="1">9*C2*D2</f>
        <v>7820.2800000000007</v>
      </c>
      <c r="G2" s="474">
        <f t="shared" ref="G2" si="2">E2+F2</f>
        <v>99925.8</v>
      </c>
      <c r="H2" s="670">
        <f>0.13+0.22+0.33+0.22+0.44</f>
        <v>1.3399999999999999</v>
      </c>
      <c r="I2" s="670">
        <f>P33</f>
        <v>4.0000000000000018</v>
      </c>
      <c r="J2" s="921">
        <v>300</v>
      </c>
      <c r="K2" s="922">
        <f>G2+J2</f>
        <v>100225.8</v>
      </c>
      <c r="L2" s="924">
        <v>37009</v>
      </c>
      <c r="M2" s="973"/>
    </row>
    <row r="3" spans="1:19" x14ac:dyDescent="0.2">
      <c r="A3" s="382" t="s">
        <v>739</v>
      </c>
      <c r="B3" s="384">
        <v>13</v>
      </c>
      <c r="C3" s="472">
        <f>M3+H3+I3</f>
        <v>32.4</v>
      </c>
      <c r="D3" s="384">
        <v>26</v>
      </c>
      <c r="E3" s="472">
        <f>106*C3*D3</f>
        <v>89294.399999999994</v>
      </c>
      <c r="F3" s="472">
        <f>9*C3*D3</f>
        <v>7581.5999999999995</v>
      </c>
      <c r="G3" s="472">
        <f>E3+F3</f>
        <v>96876</v>
      </c>
      <c r="H3" s="567">
        <f>0.13+0.22+0.44+0.88+0.33+0.22</f>
        <v>2.2200000000000002</v>
      </c>
      <c r="I3" s="567">
        <f>P20</f>
        <v>2.1</v>
      </c>
      <c r="J3" s="564">
        <v>300</v>
      </c>
      <c r="K3" s="430">
        <f>G3+J3</f>
        <v>97176</v>
      </c>
      <c r="L3" s="520">
        <v>38299</v>
      </c>
      <c r="M3" s="974">
        <v>28.08</v>
      </c>
    </row>
    <row r="4" spans="1:19" x14ac:dyDescent="0.2">
      <c r="A4" s="958" t="s">
        <v>773</v>
      </c>
      <c r="B4" s="519">
        <v>12</v>
      </c>
      <c r="C4" s="959">
        <f>M3+I4+H4</f>
        <v>31.979999999999997</v>
      </c>
      <c r="D4" s="519">
        <v>26</v>
      </c>
      <c r="E4" s="959">
        <f>106*C4*D4</f>
        <v>88136.87999999999</v>
      </c>
      <c r="F4" s="959">
        <f>9*C4*D4</f>
        <v>7483.32</v>
      </c>
      <c r="G4" s="959">
        <f>E4+F4</f>
        <v>95620.199999999983</v>
      </c>
      <c r="H4" s="960">
        <f>0.13+0.22+0.22+0.88+0.33+0.22</f>
        <v>2</v>
      </c>
      <c r="I4" s="960">
        <f>P19</f>
        <v>1.9000000000000001</v>
      </c>
      <c r="J4" s="519">
        <v>300</v>
      </c>
      <c r="K4" s="961">
        <f>G4+J4</f>
        <v>95920.199999999983</v>
      </c>
      <c r="L4" s="962">
        <v>38677</v>
      </c>
      <c r="M4" s="975"/>
      <c r="N4" s="932"/>
    </row>
    <row r="5" spans="1:19" x14ac:dyDescent="0.2">
      <c r="A5" s="386" t="s">
        <v>774</v>
      </c>
      <c r="B5" s="387">
        <v>23</v>
      </c>
      <c r="C5" s="474">
        <f>M6+H5+I5</f>
        <v>27.746740000000003</v>
      </c>
      <c r="D5" s="387">
        <v>26</v>
      </c>
      <c r="E5" s="474">
        <f>106*C5*D5</f>
        <v>76470.015440000003</v>
      </c>
      <c r="F5" s="474">
        <f>9*C5*D5</f>
        <v>6492.7371600000006</v>
      </c>
      <c r="G5" s="474">
        <f>E5+F5</f>
        <v>82962.752600000007</v>
      </c>
      <c r="H5" s="670">
        <f>0.13+0.22+0.22+0.88+0.33+0.22</f>
        <v>2</v>
      </c>
      <c r="I5" s="670">
        <f>P30</f>
        <v>3.6000000000000014</v>
      </c>
      <c r="J5" s="921">
        <v>300</v>
      </c>
      <c r="K5" s="922">
        <f>G5+J5</f>
        <v>83262.752600000007</v>
      </c>
      <c r="L5" s="968">
        <v>37878</v>
      </c>
      <c r="M5" s="92"/>
    </row>
    <row r="6" spans="1:19" x14ac:dyDescent="0.2">
      <c r="A6" s="386" t="s">
        <v>615</v>
      </c>
      <c r="B6" s="387">
        <v>12</v>
      </c>
      <c r="C6" s="474">
        <f>M6+H6+I6</f>
        <v>25.38674</v>
      </c>
      <c r="D6" s="387">
        <v>26</v>
      </c>
      <c r="E6" s="474">
        <f>106*C6*D6</f>
        <v>69965.855439999999</v>
      </c>
      <c r="F6" s="474">
        <f>9*C6*D6</f>
        <v>5940.4971599999999</v>
      </c>
      <c r="G6" s="474">
        <f>E6+F6</f>
        <v>75906.352599999998</v>
      </c>
      <c r="H6" s="670">
        <f>0.13+0.22+0.22+0.22+0.33+0.22</f>
        <v>1.3399999999999999</v>
      </c>
      <c r="I6" s="670">
        <f>P19</f>
        <v>1.9000000000000001</v>
      </c>
      <c r="J6" s="387">
        <v>300</v>
      </c>
      <c r="K6" s="922">
        <f>G6+J6</f>
        <v>76206.352599999998</v>
      </c>
      <c r="L6" s="931">
        <v>38942</v>
      </c>
      <c r="M6" s="524">
        <f>21.67*1.022</f>
        <v>22.146740000000001</v>
      </c>
      <c r="P6" s="1008" t="s">
        <v>410</v>
      </c>
      <c r="Q6" s="1008"/>
      <c r="R6" s="1008"/>
      <c r="S6"/>
    </row>
    <row r="7" spans="1:19" x14ac:dyDescent="0.2">
      <c r="A7" s="385" t="s">
        <v>640</v>
      </c>
      <c r="B7" s="428">
        <v>10</v>
      </c>
      <c r="C7" s="473">
        <f>M6+I7+H7</f>
        <v>25.746740000000003</v>
      </c>
      <c r="D7" s="428">
        <v>26</v>
      </c>
      <c r="E7" s="473">
        <f t="shared" ref="E7" si="3">106*C7*D7</f>
        <v>70958.015440000003</v>
      </c>
      <c r="F7" s="473">
        <f t="shared" ref="F7" si="4">9*C7*D7</f>
        <v>6024.7371600000006</v>
      </c>
      <c r="G7" s="473">
        <f t="shared" ref="G7" si="5">E7+F7</f>
        <v>76982.752600000007</v>
      </c>
      <c r="H7" s="669">
        <f>0.13+0.22+0.22+0.88+0.33+0.22</f>
        <v>2</v>
      </c>
      <c r="I7" s="669">
        <f>P17</f>
        <v>1.6</v>
      </c>
      <c r="J7" s="428">
        <v>300</v>
      </c>
      <c r="K7" s="927">
        <f t="shared" ref="K7" si="6">G7+J7</f>
        <v>77282.752600000007</v>
      </c>
      <c r="L7" s="928">
        <v>39380</v>
      </c>
      <c r="M7" s="933"/>
      <c r="N7" s="930"/>
      <c r="O7" s="377"/>
      <c r="P7" s="621" t="s">
        <v>448</v>
      </c>
      <c r="Q7" s="621" t="s">
        <v>449</v>
      </c>
      <c r="R7" s="621" t="s">
        <v>639</v>
      </c>
    </row>
    <row r="8" spans="1:19" x14ac:dyDescent="0.2">
      <c r="A8" s="386" t="s">
        <v>740</v>
      </c>
      <c r="B8" s="387">
        <v>12</v>
      </c>
      <c r="C8" s="474">
        <f>M9+I8+H8</f>
        <v>25.109359999999999</v>
      </c>
      <c r="D8" s="387">
        <v>26</v>
      </c>
      <c r="E8" s="474">
        <f>106*C8*D8</f>
        <v>69201.396159999989</v>
      </c>
      <c r="F8" s="474">
        <f>9*C8*D8</f>
        <v>5875.5902399999995</v>
      </c>
      <c r="G8" s="474">
        <f>E8+F8</f>
        <v>75076.986399999994</v>
      </c>
      <c r="H8" s="670">
        <f>0.22+0.22+0.88+0.33+0.22</f>
        <v>1.87</v>
      </c>
      <c r="I8" s="670">
        <f>P19</f>
        <v>1.9000000000000001</v>
      </c>
      <c r="J8" s="387">
        <v>300</v>
      </c>
      <c r="K8" s="922">
        <f>G8+J8</f>
        <v>75376.986399999994</v>
      </c>
      <c r="L8" s="931">
        <v>38628</v>
      </c>
      <c r="M8" s="92"/>
      <c r="N8" s="377"/>
      <c r="O8" s="377"/>
      <c r="P8" s="622">
        <v>0.25</v>
      </c>
      <c r="Q8" s="623">
        <v>1</v>
      </c>
      <c r="R8" s="71"/>
    </row>
    <row r="9" spans="1:19" x14ac:dyDescent="0.2">
      <c r="A9" s="382" t="s">
        <v>734</v>
      </c>
      <c r="B9" s="384">
        <v>11</v>
      </c>
      <c r="C9" s="472">
        <f>M9+I9+H9</f>
        <v>25.359359999999999</v>
      </c>
      <c r="D9" s="384">
        <v>26</v>
      </c>
      <c r="E9" s="472">
        <f>106*C9*D9</f>
        <v>69890.396159999989</v>
      </c>
      <c r="F9" s="472">
        <f>9*C9*D9</f>
        <v>5934.0902399999995</v>
      </c>
      <c r="G9" s="472">
        <f>E9+F9</f>
        <v>75824.486399999994</v>
      </c>
      <c r="H9" s="567">
        <f>0.13+0.22+0.88+0.33+0.22+0.44</f>
        <v>2.2200000000000002</v>
      </c>
      <c r="I9" s="567">
        <f>P18</f>
        <v>1.8</v>
      </c>
      <c r="J9" s="384">
        <v>300</v>
      </c>
      <c r="K9" s="430">
        <f>G9+J9</f>
        <v>76124.486399999994</v>
      </c>
      <c r="L9" s="601">
        <v>39033</v>
      </c>
      <c r="M9" s="525">
        <f>20.88*1.022</f>
        <v>21.339359999999999</v>
      </c>
      <c r="N9" s="377"/>
      <c r="O9" s="377"/>
      <c r="P9" s="622">
        <f t="shared" ref="P9:P29" si="7">P8+R9</f>
        <v>0.45</v>
      </c>
      <c r="Q9" s="623">
        <v>2</v>
      </c>
      <c r="R9" s="71">
        <v>0.2</v>
      </c>
    </row>
    <row r="10" spans="1:19" x14ac:dyDescent="0.2">
      <c r="A10" s="385" t="s">
        <v>756</v>
      </c>
      <c r="B10" s="428">
        <v>9</v>
      </c>
      <c r="C10" s="473">
        <f>M9+I10+H10</f>
        <v>24.61936</v>
      </c>
      <c r="D10" s="428">
        <v>26</v>
      </c>
      <c r="E10" s="473">
        <f>106*C10*D10</f>
        <v>67850.956160000002</v>
      </c>
      <c r="F10" s="473">
        <f>9*C10*D10</f>
        <v>5760.9302399999997</v>
      </c>
      <c r="G10" s="473">
        <f>E10+F10</f>
        <v>73611.886400000003</v>
      </c>
      <c r="H10" s="669">
        <f>0.13+0.22+0.88+0.33+0.22</f>
        <v>1.78</v>
      </c>
      <c r="I10" s="669">
        <f>P16</f>
        <v>1.5</v>
      </c>
      <c r="J10" s="428">
        <v>300</v>
      </c>
      <c r="K10" s="927">
        <f t="shared" ref="K10" si="8">G10+J10</f>
        <v>73911.886400000003</v>
      </c>
      <c r="L10" s="928">
        <v>39987</v>
      </c>
      <c r="M10" s="933"/>
      <c r="N10" s="930"/>
      <c r="O10" s="377"/>
      <c r="P10" s="622">
        <f t="shared" si="7"/>
        <v>0.6</v>
      </c>
      <c r="Q10" s="623">
        <v>3</v>
      </c>
      <c r="R10" s="71">
        <v>0.15</v>
      </c>
    </row>
    <row r="11" spans="1:19" x14ac:dyDescent="0.2">
      <c r="M11" s="92"/>
      <c r="N11" s="377"/>
      <c r="O11" s="377"/>
      <c r="P11" s="622">
        <f t="shared" si="7"/>
        <v>0.7</v>
      </c>
      <c r="Q11" s="623">
        <v>4</v>
      </c>
      <c r="R11" s="71">
        <v>0.1</v>
      </c>
    </row>
    <row r="12" spans="1:19" x14ac:dyDescent="0.2">
      <c r="A12" s="386" t="s">
        <v>757</v>
      </c>
      <c r="B12" s="387">
        <v>11</v>
      </c>
      <c r="C12" s="474">
        <f>M13+I12+H12</f>
        <v>21.367000000000001</v>
      </c>
      <c r="D12" s="387">
        <v>26</v>
      </c>
      <c r="E12" s="474">
        <f>106*C12*D12</f>
        <v>58887.452000000005</v>
      </c>
      <c r="F12" s="474">
        <f>9*C12*D12</f>
        <v>4999.8779999999997</v>
      </c>
      <c r="G12" s="474">
        <f>E12+F12</f>
        <v>63887.33</v>
      </c>
      <c r="H12" s="670">
        <f>0.22+0.22+0.22</f>
        <v>0.66</v>
      </c>
      <c r="I12" s="670">
        <f>P18</f>
        <v>1.8</v>
      </c>
      <c r="J12" s="387">
        <v>300</v>
      </c>
      <c r="K12" s="922">
        <f>G12+J12</f>
        <v>64187.33</v>
      </c>
      <c r="L12" s="931">
        <v>39033</v>
      </c>
      <c r="M12" s="525"/>
      <c r="N12" s="377"/>
      <c r="O12" s="377"/>
      <c r="P12" s="622">
        <f t="shared" si="7"/>
        <v>0.89999999999999991</v>
      </c>
      <c r="Q12" s="623">
        <v>5</v>
      </c>
      <c r="R12" s="71">
        <v>0.2</v>
      </c>
    </row>
    <row r="13" spans="1:19" x14ac:dyDescent="0.2">
      <c r="A13" s="386" t="s">
        <v>638</v>
      </c>
      <c r="B13" s="387">
        <v>10</v>
      </c>
      <c r="C13" s="474">
        <f>M13+I13+H13</f>
        <v>22.727</v>
      </c>
      <c r="D13" s="387">
        <v>26</v>
      </c>
      <c r="E13" s="474">
        <f>106*C13*D13</f>
        <v>62635.611999999994</v>
      </c>
      <c r="F13" s="474">
        <f>9*C13*D13</f>
        <v>5318.1180000000004</v>
      </c>
      <c r="G13" s="474">
        <f>E13+F13</f>
        <v>67953.73</v>
      </c>
      <c r="H13" s="670">
        <f>0.13+0.22+0.88+0.33+0.22+0.44</f>
        <v>2.2200000000000002</v>
      </c>
      <c r="I13" s="670">
        <f>P17</f>
        <v>1.6</v>
      </c>
      <c r="J13" s="387">
        <v>300</v>
      </c>
      <c r="K13" s="922">
        <f>G13+J13</f>
        <v>68253.73</v>
      </c>
      <c r="L13" s="931">
        <v>39987</v>
      </c>
      <c r="M13" s="525">
        <f>18.5*1.022</f>
        <v>18.907</v>
      </c>
      <c r="N13" s="377"/>
      <c r="O13" s="377"/>
      <c r="P13" s="622">
        <f t="shared" si="7"/>
        <v>0.99999999999999989</v>
      </c>
      <c r="Q13" s="623">
        <v>6</v>
      </c>
      <c r="R13" s="71">
        <v>0.1</v>
      </c>
    </row>
    <row r="14" spans="1:19" x14ac:dyDescent="0.2">
      <c r="A14" s="386" t="s">
        <v>409</v>
      </c>
      <c r="B14" s="387">
        <v>9</v>
      </c>
      <c r="C14" s="474">
        <f>M13+I14+H14</f>
        <v>22.407</v>
      </c>
      <c r="D14" s="387">
        <v>26</v>
      </c>
      <c r="E14" s="474">
        <f t="shared" ref="E14" si="9">106*C14*D14</f>
        <v>61753.691999999995</v>
      </c>
      <c r="F14" s="474">
        <f t="shared" ref="F14" si="10">9*C14*D14</f>
        <v>5243.2380000000003</v>
      </c>
      <c r="G14" s="474">
        <f t="shared" ref="G14" si="11">E14+F14</f>
        <v>66996.929999999993</v>
      </c>
      <c r="H14" s="670">
        <f>0.13+0.22+0.22+0.88+0.33+0.22</f>
        <v>2</v>
      </c>
      <c r="I14" s="670">
        <f>P16</f>
        <v>1.5</v>
      </c>
      <c r="J14" s="387">
        <v>300</v>
      </c>
      <c r="K14" s="922">
        <f t="shared" ref="K14:K23" si="12">G14+J14</f>
        <v>67296.929999999993</v>
      </c>
      <c r="L14" s="931">
        <v>39377</v>
      </c>
      <c r="M14" s="92"/>
      <c r="N14" s="377"/>
      <c r="O14" s="377"/>
      <c r="P14" s="622">
        <f t="shared" si="7"/>
        <v>1.2</v>
      </c>
      <c r="Q14" s="623">
        <v>7</v>
      </c>
      <c r="R14" s="71">
        <v>0.2</v>
      </c>
    </row>
    <row r="15" spans="1:19" x14ac:dyDescent="0.2">
      <c r="A15" s="382" t="s">
        <v>735</v>
      </c>
      <c r="B15" s="384">
        <v>8</v>
      </c>
      <c r="C15" s="472">
        <f>M13+I15+H15</f>
        <v>22.097000000000001</v>
      </c>
      <c r="D15" s="384">
        <v>26</v>
      </c>
      <c r="E15" s="472">
        <f t="shared" ref="E15:E20" si="13">106*C15*D15</f>
        <v>60899.332000000002</v>
      </c>
      <c r="F15" s="472">
        <f t="shared" ref="F15:F20" si="14">9*C15*D15</f>
        <v>5170.6980000000003</v>
      </c>
      <c r="G15" s="472">
        <f t="shared" ref="G15:G20" si="15">E15+F15</f>
        <v>66070.03</v>
      </c>
      <c r="H15" s="567">
        <f>0.13+0.22+0.22+0.88+0.22+0.22</f>
        <v>1.89</v>
      </c>
      <c r="I15" s="567">
        <f>P15</f>
        <v>1.3</v>
      </c>
      <c r="J15" s="384">
        <v>300</v>
      </c>
      <c r="K15" s="430">
        <f t="shared" ref="K15:K20" si="16">G15+J15</f>
        <v>66370.03</v>
      </c>
      <c r="L15" s="601">
        <v>40419</v>
      </c>
      <c r="M15" s="525"/>
      <c r="N15" s="377"/>
      <c r="O15" s="377"/>
      <c r="P15" s="622">
        <f t="shared" si="7"/>
        <v>1.3</v>
      </c>
      <c r="Q15" s="623">
        <v>8</v>
      </c>
      <c r="R15" s="71">
        <v>0.1</v>
      </c>
      <c r="S15" s="377"/>
    </row>
    <row r="16" spans="1:19" x14ac:dyDescent="0.2">
      <c r="A16" s="539" t="s">
        <v>758</v>
      </c>
      <c r="B16" s="428">
        <v>6</v>
      </c>
      <c r="C16" s="473">
        <f>M13+I16+H16</f>
        <v>21.137</v>
      </c>
      <c r="D16" s="969">
        <v>26</v>
      </c>
      <c r="E16" s="970">
        <f t="shared" si="13"/>
        <v>58253.572</v>
      </c>
      <c r="F16" s="970">
        <f t="shared" si="14"/>
        <v>4946.058</v>
      </c>
      <c r="G16" s="970">
        <f t="shared" si="15"/>
        <v>63199.63</v>
      </c>
      <c r="H16" s="669">
        <f>0.13+0.22+0.44+0.22+0.22</f>
        <v>1.23</v>
      </c>
      <c r="I16" s="971">
        <f>P13</f>
        <v>0.99999999999999989</v>
      </c>
      <c r="J16" s="428">
        <v>300</v>
      </c>
      <c r="K16" s="927">
        <f t="shared" si="16"/>
        <v>63499.63</v>
      </c>
      <c r="L16" s="972">
        <v>40939</v>
      </c>
      <c r="M16" s="932"/>
      <c r="N16" s="932"/>
      <c r="O16" s="377"/>
      <c r="P16" s="622">
        <f t="shared" si="7"/>
        <v>1.5</v>
      </c>
      <c r="Q16" s="623">
        <v>9</v>
      </c>
      <c r="R16" s="71">
        <v>0.2</v>
      </c>
    </row>
    <row r="17" spans="1:18" x14ac:dyDescent="0.2">
      <c r="A17" s="963" t="s">
        <v>759</v>
      </c>
      <c r="B17" s="381">
        <v>14</v>
      </c>
      <c r="C17" s="964">
        <f>M18+I17+H17</f>
        <v>19.628160000000001</v>
      </c>
      <c r="D17" s="381">
        <v>26</v>
      </c>
      <c r="E17" s="964">
        <f t="shared" si="13"/>
        <v>54095.208960000004</v>
      </c>
      <c r="F17" s="964">
        <f t="shared" si="14"/>
        <v>4592.9894400000003</v>
      </c>
      <c r="G17" s="964">
        <f t="shared" si="15"/>
        <v>58688.198400000001</v>
      </c>
      <c r="H17" s="965">
        <f>0.13+0.22+0.22+0.22</f>
        <v>0.78999999999999992</v>
      </c>
      <c r="I17" s="965">
        <f>P21</f>
        <v>2.2000000000000002</v>
      </c>
      <c r="J17" s="381">
        <v>300</v>
      </c>
      <c r="K17" s="966">
        <f t="shared" si="16"/>
        <v>58988.198400000001</v>
      </c>
      <c r="L17" s="967">
        <v>38249</v>
      </c>
      <c r="M17" s="525"/>
      <c r="N17" s="377"/>
      <c r="O17" s="377"/>
      <c r="P17" s="622">
        <f>P16+R17</f>
        <v>1.6</v>
      </c>
      <c r="Q17" s="623">
        <v>10</v>
      </c>
      <c r="R17" s="71">
        <v>0.1</v>
      </c>
    </row>
    <row r="18" spans="1:18" x14ac:dyDescent="0.2">
      <c r="A18" s="386" t="s">
        <v>776</v>
      </c>
      <c r="B18" s="387">
        <v>12</v>
      </c>
      <c r="C18" s="474">
        <f>M18+I18+H18</f>
        <v>19.858160000000002</v>
      </c>
      <c r="D18" s="387">
        <v>26</v>
      </c>
      <c r="E18" s="474">
        <f t="shared" si="13"/>
        <v>54729.088960000008</v>
      </c>
      <c r="F18" s="474">
        <f t="shared" si="14"/>
        <v>4646.80944</v>
      </c>
      <c r="G18" s="474">
        <f t="shared" si="15"/>
        <v>59375.898400000005</v>
      </c>
      <c r="H18" s="670">
        <f>0.22+0.88+0.22</f>
        <v>1.32</v>
      </c>
      <c r="I18" s="670">
        <f>P19</f>
        <v>1.9000000000000001</v>
      </c>
      <c r="J18" s="387">
        <v>300</v>
      </c>
      <c r="K18" s="922">
        <f t="shared" si="16"/>
        <v>59675.898400000005</v>
      </c>
      <c r="L18" s="931">
        <v>38942</v>
      </c>
      <c r="M18" s="524">
        <f>16.28*1.022</f>
        <v>16.638160000000003</v>
      </c>
      <c r="N18" s="24" t="s">
        <v>322</v>
      </c>
      <c r="P18" s="622">
        <f t="shared" si="7"/>
        <v>1.8</v>
      </c>
      <c r="Q18" s="623">
        <v>11</v>
      </c>
      <c r="R18" s="71">
        <v>0.2</v>
      </c>
    </row>
    <row r="19" spans="1:18" x14ac:dyDescent="0.2">
      <c r="A19" s="382" t="s">
        <v>760</v>
      </c>
      <c r="B19" s="384">
        <v>10</v>
      </c>
      <c r="C19" s="472">
        <f>M18+I19+H19</f>
        <v>19.888160000000003</v>
      </c>
      <c r="D19" s="384">
        <v>26</v>
      </c>
      <c r="E19" s="472">
        <f t="shared" si="13"/>
        <v>54811.768960000001</v>
      </c>
      <c r="F19" s="472">
        <f t="shared" si="14"/>
        <v>4653.8294400000004</v>
      </c>
      <c r="G19" s="472">
        <f t="shared" si="15"/>
        <v>59465.598400000003</v>
      </c>
      <c r="H19" s="567">
        <f>0.22+0.88+0.33+0.22</f>
        <v>1.6500000000000001</v>
      </c>
      <c r="I19" s="567">
        <f>P17</f>
        <v>1.6</v>
      </c>
      <c r="J19" s="384">
        <v>300</v>
      </c>
      <c r="K19" s="430">
        <f t="shared" si="16"/>
        <v>59765.598400000003</v>
      </c>
      <c r="L19" s="601">
        <v>39649</v>
      </c>
      <c r="M19" s="92"/>
      <c r="P19" s="622">
        <f t="shared" si="7"/>
        <v>1.9000000000000001</v>
      </c>
      <c r="Q19" s="623">
        <v>12</v>
      </c>
      <c r="R19" s="71">
        <v>0.1</v>
      </c>
    </row>
    <row r="20" spans="1:18" x14ac:dyDescent="0.2">
      <c r="A20" s="386" t="s">
        <v>761</v>
      </c>
      <c r="B20" s="387">
        <v>8</v>
      </c>
      <c r="C20" s="474">
        <f>M18+I20+H20</f>
        <v>19.478160000000003</v>
      </c>
      <c r="D20" s="387">
        <v>26</v>
      </c>
      <c r="E20" s="474">
        <f t="shared" si="13"/>
        <v>53681.808960000009</v>
      </c>
      <c r="F20" s="474">
        <f t="shared" si="14"/>
        <v>4557.8894400000008</v>
      </c>
      <c r="G20" s="474">
        <f t="shared" si="15"/>
        <v>58239.698400000008</v>
      </c>
      <c r="H20" s="670">
        <f>0.22+0.88+0.22+0.22</f>
        <v>1.54</v>
      </c>
      <c r="I20" s="670">
        <f>P15</f>
        <v>1.3</v>
      </c>
      <c r="J20" s="387">
        <v>300</v>
      </c>
      <c r="K20" s="922">
        <f t="shared" si="16"/>
        <v>58539.698400000008</v>
      </c>
      <c r="L20" s="931">
        <v>40078</v>
      </c>
      <c r="M20" s="524">
        <f>15.21*1.022</f>
        <v>15.544620000000002</v>
      </c>
      <c r="N20" s="24" t="s">
        <v>323</v>
      </c>
      <c r="P20" s="622">
        <f t="shared" si="7"/>
        <v>2.1</v>
      </c>
      <c r="Q20" s="623">
        <v>13</v>
      </c>
      <c r="R20" s="71">
        <v>0.2</v>
      </c>
    </row>
    <row r="21" spans="1:18" x14ac:dyDescent="0.2">
      <c r="A21" s="382" t="s">
        <v>762</v>
      </c>
      <c r="B21" s="384">
        <v>5</v>
      </c>
      <c r="C21" s="472">
        <f>M18+I21+H21</f>
        <v>17.978160000000003</v>
      </c>
      <c r="D21" s="384">
        <v>26</v>
      </c>
      <c r="E21" s="472">
        <f t="shared" ref="E21" si="17">106*C21*D21</f>
        <v>49547.808960000009</v>
      </c>
      <c r="F21" s="472">
        <f t="shared" ref="F21" si="18">9*C21*D21</f>
        <v>4206.8894400000008</v>
      </c>
      <c r="G21" s="472">
        <f t="shared" ref="G21" si="19">E21+F21</f>
        <v>53754.698400000008</v>
      </c>
      <c r="H21" s="567">
        <f>0.22+0.22</f>
        <v>0.44</v>
      </c>
      <c r="I21" s="567">
        <f>P12</f>
        <v>0.89999999999999991</v>
      </c>
      <c r="J21" s="384">
        <v>300</v>
      </c>
      <c r="K21" s="430">
        <f t="shared" si="12"/>
        <v>54054.698400000008</v>
      </c>
      <c r="L21" s="601">
        <v>41365</v>
      </c>
      <c r="M21" s="525"/>
      <c r="N21" s="92"/>
      <c r="P21" s="622">
        <f t="shared" si="7"/>
        <v>2.2000000000000002</v>
      </c>
      <c r="Q21" s="623">
        <v>14</v>
      </c>
      <c r="R21" s="71">
        <v>0.1</v>
      </c>
    </row>
    <row r="22" spans="1:18" x14ac:dyDescent="0.2">
      <c r="A22" s="382" t="s">
        <v>763</v>
      </c>
      <c r="B22" s="384">
        <v>3</v>
      </c>
      <c r="C22" s="472">
        <f>M18+I22+H22</f>
        <v>17.678160000000005</v>
      </c>
      <c r="D22" s="384">
        <v>26</v>
      </c>
      <c r="E22" s="472">
        <f t="shared" ref="E22:E23" si="20">106*C22*D22</f>
        <v>48721.008960000014</v>
      </c>
      <c r="F22" s="472">
        <f t="shared" ref="F22:F23" si="21">9*C22*D22</f>
        <v>4136.689440000001</v>
      </c>
      <c r="G22" s="472">
        <f t="shared" ref="G22:G25" si="22">E22+F22</f>
        <v>52857.698400000016</v>
      </c>
      <c r="H22" s="567">
        <f>0.22+0.22</f>
        <v>0.44</v>
      </c>
      <c r="I22" s="567">
        <f>P10</f>
        <v>0.6</v>
      </c>
      <c r="J22" s="384">
        <v>300</v>
      </c>
      <c r="K22" s="430">
        <f t="shared" si="12"/>
        <v>53157.698400000016</v>
      </c>
      <c r="L22" s="601">
        <v>42122</v>
      </c>
      <c r="M22" s="525"/>
      <c r="N22" s="92"/>
      <c r="P22" s="622">
        <f t="shared" si="7"/>
        <v>2.4000000000000004</v>
      </c>
      <c r="Q22" s="623">
        <v>15</v>
      </c>
      <c r="R22" s="71">
        <v>0.2</v>
      </c>
    </row>
    <row r="23" spans="1:18" x14ac:dyDescent="0.2">
      <c r="A23" s="382" t="s">
        <v>764</v>
      </c>
      <c r="B23" s="384">
        <v>2</v>
      </c>
      <c r="C23" s="472">
        <f>M18+I23+H23</f>
        <v>18.408160000000002</v>
      </c>
      <c r="D23" s="384">
        <v>26</v>
      </c>
      <c r="E23" s="472">
        <f t="shared" si="20"/>
        <v>50732.888960000004</v>
      </c>
      <c r="F23" s="472">
        <f t="shared" si="21"/>
        <v>4307.5094400000007</v>
      </c>
      <c r="G23" s="472">
        <f t="shared" si="22"/>
        <v>55040.398400000005</v>
      </c>
      <c r="H23" s="567">
        <f>0.44+0.88</f>
        <v>1.32</v>
      </c>
      <c r="I23" s="567">
        <f>P9</f>
        <v>0.45</v>
      </c>
      <c r="J23" s="384">
        <v>300</v>
      </c>
      <c r="K23" s="430">
        <f t="shared" si="12"/>
        <v>55340.398400000005</v>
      </c>
      <c r="L23" s="601">
        <v>42421</v>
      </c>
      <c r="M23" s="525"/>
      <c r="N23" s="92"/>
      <c r="P23" s="622">
        <f t="shared" si="7"/>
        <v>2.5000000000000004</v>
      </c>
      <c r="Q23" s="623">
        <v>16</v>
      </c>
      <c r="R23" s="71">
        <v>0.1</v>
      </c>
    </row>
    <row r="24" spans="1:18" x14ac:dyDescent="0.2">
      <c r="A24" s="382" t="s">
        <v>765</v>
      </c>
      <c r="B24" s="384">
        <v>2</v>
      </c>
      <c r="C24" s="472">
        <f>M18+I24+H24</f>
        <v>17.748160000000002</v>
      </c>
      <c r="D24" s="384">
        <v>26</v>
      </c>
      <c r="E24" s="472">
        <f>106*C24*D24</f>
        <v>48913.928960000005</v>
      </c>
      <c r="F24" s="472">
        <f>9*C24*D24</f>
        <v>4153.0694400000011</v>
      </c>
      <c r="G24" s="472">
        <f t="shared" si="22"/>
        <v>53066.998400000004</v>
      </c>
      <c r="H24" s="567">
        <f>0.22+0.44</f>
        <v>0.66</v>
      </c>
      <c r="I24" s="567">
        <f>P9</f>
        <v>0.45</v>
      </c>
      <c r="J24" s="384">
        <v>300</v>
      </c>
      <c r="K24" s="430">
        <f>G24+J24</f>
        <v>53366.998400000004</v>
      </c>
      <c r="L24" s="601">
        <v>42429</v>
      </c>
      <c r="M24" s="525"/>
      <c r="N24" s="92"/>
      <c r="P24" s="622">
        <f t="shared" si="7"/>
        <v>2.7000000000000006</v>
      </c>
      <c r="Q24" s="623">
        <v>17</v>
      </c>
      <c r="R24" s="71">
        <v>0.2</v>
      </c>
    </row>
    <row r="25" spans="1:18" x14ac:dyDescent="0.2">
      <c r="A25" s="382" t="s">
        <v>766</v>
      </c>
      <c r="B25" s="384">
        <v>2</v>
      </c>
      <c r="C25" s="472">
        <f>M18+I25+H25</f>
        <v>17.088160000000002</v>
      </c>
      <c r="D25" s="384">
        <v>26</v>
      </c>
      <c r="E25" s="472">
        <f>106*C25*D25</f>
        <v>47094.968960000006</v>
      </c>
      <c r="F25" s="472">
        <f>9*C25*D25</f>
        <v>3998.6294400000006</v>
      </c>
      <c r="G25" s="472">
        <f t="shared" si="22"/>
        <v>51093.598400000003</v>
      </c>
      <c r="H25" s="567">
        <v>0</v>
      </c>
      <c r="I25" s="567">
        <f>P9</f>
        <v>0.45</v>
      </c>
      <c r="J25" s="384">
        <v>300</v>
      </c>
      <c r="K25" s="430">
        <f>G25+J25</f>
        <v>51393.598400000003</v>
      </c>
      <c r="L25" s="601">
        <v>42429</v>
      </c>
      <c r="M25" s="525"/>
      <c r="N25" s="92"/>
      <c r="P25" s="622">
        <f t="shared" si="7"/>
        <v>2.8000000000000007</v>
      </c>
      <c r="Q25" s="623">
        <v>18</v>
      </c>
      <c r="R25" s="71">
        <v>0.1</v>
      </c>
    </row>
    <row r="26" spans="1:18" x14ac:dyDescent="0.2">
      <c r="A26" s="382" t="s">
        <v>767</v>
      </c>
      <c r="B26" s="384">
        <v>2</v>
      </c>
      <c r="C26" s="472">
        <f>M18+I26+H26</f>
        <v>17.088160000000002</v>
      </c>
      <c r="D26" s="384">
        <v>26</v>
      </c>
      <c r="E26" s="472">
        <f>106*C26*D26</f>
        <v>47094.968960000006</v>
      </c>
      <c r="F26" s="472">
        <f>9*C26*D26</f>
        <v>3998.6294400000006</v>
      </c>
      <c r="G26" s="472">
        <f>E26+F26</f>
        <v>51093.598400000003</v>
      </c>
      <c r="H26" s="567">
        <v>0</v>
      </c>
      <c r="I26" s="567">
        <f>P9</f>
        <v>0.45</v>
      </c>
      <c r="J26" s="384">
        <v>300</v>
      </c>
      <c r="K26" s="430">
        <f>G26+J26</f>
        <v>51393.598400000003</v>
      </c>
      <c r="L26" s="601">
        <v>42604</v>
      </c>
      <c r="M26" s="525"/>
      <c r="N26" s="92"/>
      <c r="P26" s="622">
        <f t="shared" si="7"/>
        <v>3.0000000000000009</v>
      </c>
      <c r="Q26" s="623">
        <v>19</v>
      </c>
      <c r="R26" s="71">
        <v>0.2</v>
      </c>
    </row>
    <row r="27" spans="1:18" x14ac:dyDescent="0.2">
      <c r="A27" s="382" t="s">
        <v>768</v>
      </c>
      <c r="B27" s="384">
        <v>1</v>
      </c>
      <c r="C27" s="472">
        <f>M18+I27+H27</f>
        <v>16.888160000000003</v>
      </c>
      <c r="D27" s="384">
        <v>26</v>
      </c>
      <c r="E27" s="472">
        <f t="shared" ref="E27:E32" si="23">106*C27*D27</f>
        <v>46543.768960000009</v>
      </c>
      <c r="F27" s="472">
        <f t="shared" ref="F27:F32" si="24">9*C27*D27</f>
        <v>3951.8294400000004</v>
      </c>
      <c r="G27" s="472">
        <f t="shared" ref="G27:G32" si="25">E27+F27</f>
        <v>50495.59840000001</v>
      </c>
      <c r="H27" s="567">
        <v>0</v>
      </c>
      <c r="I27" s="567">
        <f>P8</f>
        <v>0.25</v>
      </c>
      <c r="J27" s="384">
        <v>300</v>
      </c>
      <c r="K27" s="430">
        <f t="shared" ref="K27:K32" si="26">G27+J27</f>
        <v>50795.59840000001</v>
      </c>
      <c r="L27" s="601">
        <v>42632</v>
      </c>
      <c r="M27" s="525"/>
      <c r="N27" s="92"/>
      <c r="P27" s="622">
        <f t="shared" si="7"/>
        <v>3.100000000000001</v>
      </c>
      <c r="Q27" s="623">
        <v>20</v>
      </c>
      <c r="R27" s="71">
        <v>0.1</v>
      </c>
    </row>
    <row r="28" spans="1:18" x14ac:dyDescent="0.2">
      <c r="A28" s="382" t="s">
        <v>769</v>
      </c>
      <c r="B28" s="384">
        <v>1</v>
      </c>
      <c r="C28" s="472">
        <f>M18+I28+H28</f>
        <v>16.888160000000003</v>
      </c>
      <c r="D28" s="384">
        <v>26</v>
      </c>
      <c r="E28" s="472">
        <f t="shared" si="23"/>
        <v>46543.768960000009</v>
      </c>
      <c r="F28" s="472">
        <f t="shared" si="24"/>
        <v>3951.8294400000004</v>
      </c>
      <c r="G28" s="472">
        <f t="shared" si="25"/>
        <v>50495.59840000001</v>
      </c>
      <c r="H28" s="567">
        <v>0</v>
      </c>
      <c r="I28" s="567">
        <f>P8</f>
        <v>0.25</v>
      </c>
      <c r="J28" s="384">
        <v>300</v>
      </c>
      <c r="K28" s="430">
        <f t="shared" si="26"/>
        <v>50795.59840000001</v>
      </c>
      <c r="L28" s="601">
        <v>42758</v>
      </c>
      <c r="M28" s="525"/>
      <c r="N28" s="92"/>
      <c r="P28" s="622">
        <f t="shared" si="7"/>
        <v>3.3000000000000012</v>
      </c>
      <c r="Q28" s="623">
        <v>21</v>
      </c>
      <c r="R28" s="71">
        <v>0.2</v>
      </c>
    </row>
    <row r="29" spans="1:18" x14ac:dyDescent="0.2">
      <c r="A29" s="382" t="s">
        <v>770</v>
      </c>
      <c r="B29" s="384">
        <v>1</v>
      </c>
      <c r="C29" s="472">
        <f>M18+I29+H29</f>
        <v>17.438160000000003</v>
      </c>
      <c r="D29" s="384">
        <v>26</v>
      </c>
      <c r="E29" s="472">
        <f t="shared" si="23"/>
        <v>48059.568960000004</v>
      </c>
      <c r="F29" s="472">
        <f t="shared" si="24"/>
        <v>4080.5294400000012</v>
      </c>
      <c r="G29" s="472">
        <f t="shared" si="25"/>
        <v>52140.098400000003</v>
      </c>
      <c r="H29" s="567">
        <f>0.33+0.22</f>
        <v>0.55000000000000004</v>
      </c>
      <c r="I29" s="567">
        <f>P8</f>
        <v>0.25</v>
      </c>
      <c r="J29" s="384">
        <v>300</v>
      </c>
      <c r="K29" s="430">
        <f t="shared" si="26"/>
        <v>52440.098400000003</v>
      </c>
      <c r="L29" s="601">
        <v>42807</v>
      </c>
      <c r="M29" s="525"/>
      <c r="N29" s="92"/>
      <c r="P29" s="622">
        <f t="shared" si="7"/>
        <v>3.4000000000000012</v>
      </c>
      <c r="Q29" s="623">
        <v>22</v>
      </c>
      <c r="R29" s="71">
        <v>0.1</v>
      </c>
    </row>
    <row r="30" spans="1:18" x14ac:dyDescent="0.2">
      <c r="A30" s="382" t="s">
        <v>771</v>
      </c>
      <c r="B30" s="384">
        <v>1</v>
      </c>
      <c r="C30" s="472">
        <f>M18+I30+H30</f>
        <v>16.888160000000003</v>
      </c>
      <c r="D30" s="384">
        <v>26</v>
      </c>
      <c r="E30" s="472">
        <f t="shared" si="23"/>
        <v>46543.768960000009</v>
      </c>
      <c r="F30" s="472">
        <f t="shared" si="24"/>
        <v>3951.8294400000004</v>
      </c>
      <c r="G30" s="472">
        <f t="shared" si="25"/>
        <v>50495.59840000001</v>
      </c>
      <c r="H30" s="567">
        <v>0</v>
      </c>
      <c r="I30" s="567">
        <f>P8</f>
        <v>0.25</v>
      </c>
      <c r="J30" s="384">
        <v>300</v>
      </c>
      <c r="K30" s="430">
        <f t="shared" si="26"/>
        <v>50795.59840000001</v>
      </c>
      <c r="L30" s="601">
        <v>42807</v>
      </c>
      <c r="M30" s="525"/>
      <c r="N30" s="92"/>
      <c r="P30" s="622">
        <f t="shared" ref="P30:P35" si="27">P29+R30</f>
        <v>3.6000000000000014</v>
      </c>
      <c r="Q30" s="623">
        <v>23</v>
      </c>
      <c r="R30" s="71">
        <v>0.2</v>
      </c>
    </row>
    <row r="31" spans="1:18" x14ac:dyDescent="0.2">
      <c r="A31" s="382" t="s">
        <v>772</v>
      </c>
      <c r="B31" s="384">
        <v>3</v>
      </c>
      <c r="C31" s="472">
        <f>M18+I31+H31</f>
        <v>17.238160000000004</v>
      </c>
      <c r="D31" s="384">
        <v>26</v>
      </c>
      <c r="E31" s="472">
        <f t="shared" si="23"/>
        <v>47508.368960000014</v>
      </c>
      <c r="F31" s="472">
        <f t="shared" ref="F31" si="28">9*C31*D31</f>
        <v>4033.7294400000005</v>
      </c>
      <c r="G31" s="472">
        <f t="shared" ref="G31" si="29">E31+F31</f>
        <v>51542.098400000017</v>
      </c>
      <c r="H31" s="567">
        <v>0</v>
      </c>
      <c r="I31" s="567">
        <f>P10</f>
        <v>0.6</v>
      </c>
      <c r="J31" s="384">
        <v>300</v>
      </c>
      <c r="K31" s="430">
        <f t="shared" ref="K31" si="30">G31+J31</f>
        <v>51842.098400000017</v>
      </c>
      <c r="L31" s="601">
        <v>42895</v>
      </c>
      <c r="M31" s="525"/>
      <c r="N31" s="92"/>
      <c r="P31" s="622">
        <f>P30+R31</f>
        <v>3.7000000000000015</v>
      </c>
      <c r="Q31" s="623">
        <v>24</v>
      </c>
      <c r="R31" s="71">
        <v>0.1</v>
      </c>
    </row>
    <row r="32" spans="1:18" x14ac:dyDescent="0.2">
      <c r="A32" s="385" t="s">
        <v>775</v>
      </c>
      <c r="B32" s="428">
        <v>0</v>
      </c>
      <c r="C32" s="473">
        <f>M20+I32+H32</f>
        <v>15.544620000000002</v>
      </c>
      <c r="D32" s="428">
        <v>26</v>
      </c>
      <c r="E32" s="473">
        <f t="shared" si="23"/>
        <v>42840.972720000005</v>
      </c>
      <c r="F32" s="473">
        <f t="shared" si="24"/>
        <v>3637.4410800000005</v>
      </c>
      <c r="G32" s="473">
        <f t="shared" si="25"/>
        <v>46478.413800000009</v>
      </c>
      <c r="H32" s="669">
        <v>0</v>
      </c>
      <c r="I32" s="669">
        <v>0</v>
      </c>
      <c r="J32" s="428">
        <v>300</v>
      </c>
      <c r="K32" s="927">
        <f t="shared" si="26"/>
        <v>46778.413800000009</v>
      </c>
      <c r="L32" s="928">
        <v>43030</v>
      </c>
      <c r="M32" s="929"/>
      <c r="N32" s="930"/>
      <c r="P32" s="622">
        <f>P31+R32</f>
        <v>3.9000000000000017</v>
      </c>
      <c r="Q32" s="623">
        <v>25</v>
      </c>
      <c r="R32" s="71">
        <v>0.2</v>
      </c>
    </row>
    <row r="33" spans="1:22" ht="13.5" x14ac:dyDescent="0.25">
      <c r="A33" s="386" t="s">
        <v>59</v>
      </c>
      <c r="B33" s="925">
        <f>AVERAGE(B2:B32)</f>
        <v>7.9666666666666668</v>
      </c>
      <c r="C33" s="926">
        <f>AVERAGE(C3:C32)</f>
        <v>21.165873103448273</v>
      </c>
      <c r="D33" s="387"/>
      <c r="E33" s="926">
        <f>SUM(E3:E32)</f>
        <v>1691661.2419199999</v>
      </c>
      <c r="F33" s="474">
        <f>SUM(F3:F32)</f>
        <v>143631.61488000001</v>
      </c>
      <c r="G33" s="926">
        <f>SUM(G3:G32)</f>
        <v>1835292.8568000004</v>
      </c>
      <c r="H33" s="926">
        <f>AVERAGE(H3:H32)</f>
        <v>1.1082758620689654</v>
      </c>
      <c r="I33" s="926">
        <f>AVERAGE(I3:I32)</f>
        <v>1.2206896551724145</v>
      </c>
      <c r="J33" s="926">
        <f>SUM(J3:J32)</f>
        <v>8700</v>
      </c>
      <c r="K33" s="922">
        <f>SUM(K2:K32)</f>
        <v>1944218.6568000005</v>
      </c>
      <c r="L33" s="377"/>
      <c r="M33" s="523"/>
      <c r="P33" s="622">
        <f>P32+R33</f>
        <v>4.0000000000000018</v>
      </c>
      <c r="Q33" s="623">
        <v>26</v>
      </c>
      <c r="R33" s="71">
        <v>0.1</v>
      </c>
    </row>
    <row r="34" spans="1:22" x14ac:dyDescent="0.2">
      <c r="A34" s="386" t="s">
        <v>60</v>
      </c>
      <c r="B34" s="387"/>
      <c r="C34" s="387" t="s">
        <v>412</v>
      </c>
      <c r="D34" s="387"/>
      <c r="E34" s="387"/>
      <c r="F34" s="387"/>
      <c r="G34" s="387"/>
      <c r="H34" s="387"/>
      <c r="I34" s="919"/>
      <c r="J34" s="919"/>
      <c r="K34" s="920">
        <v>115000</v>
      </c>
      <c r="L34" s="377"/>
      <c r="M34" s="523"/>
      <c r="O34"/>
      <c r="P34" s="622">
        <f>P33+R34</f>
        <v>4.200000000000002</v>
      </c>
      <c r="Q34" s="623">
        <v>27</v>
      </c>
      <c r="R34" s="71">
        <v>0.2</v>
      </c>
    </row>
    <row r="35" spans="1:22" x14ac:dyDescent="0.2">
      <c r="A35" s="382" t="s">
        <v>169</v>
      </c>
      <c r="B35" s="384"/>
      <c r="C35" s="384" t="s">
        <v>489</v>
      </c>
      <c r="D35" s="384"/>
      <c r="E35" s="384"/>
      <c r="F35" s="384"/>
      <c r="G35" s="384"/>
      <c r="H35" s="384"/>
      <c r="I35" s="489"/>
      <c r="J35" s="489"/>
      <c r="K35" s="593">
        <v>25000</v>
      </c>
      <c r="L35" s="377"/>
      <c r="M35" s="523"/>
      <c r="O35"/>
      <c r="P35" s="622">
        <f t="shared" si="27"/>
        <v>4.3000000000000016</v>
      </c>
      <c r="Q35" s="623">
        <v>28</v>
      </c>
      <c r="R35" s="71">
        <v>0.1</v>
      </c>
    </row>
    <row r="36" spans="1:22" x14ac:dyDescent="0.2">
      <c r="A36" s="382" t="s">
        <v>447</v>
      </c>
      <c r="B36" s="384"/>
      <c r="C36" s="384"/>
      <c r="D36" s="384"/>
      <c r="E36" s="384"/>
      <c r="F36" s="383"/>
      <c r="G36" s="383"/>
      <c r="H36" s="383"/>
      <c r="I36" s="403"/>
      <c r="J36" s="403"/>
      <c r="K36" s="592">
        <f>M36*1740</f>
        <v>22015.106400000004</v>
      </c>
      <c r="L36" s="377"/>
      <c r="M36" s="523">
        <f>12.38*1.022</f>
        <v>12.652360000000002</v>
      </c>
      <c r="N36"/>
      <c r="P36" s="622">
        <f>P35+R36</f>
        <v>4.5000000000000018</v>
      </c>
      <c r="Q36" s="623">
        <v>29</v>
      </c>
      <c r="R36" s="71">
        <v>0.2</v>
      </c>
    </row>
    <row r="37" spans="1:22" ht="15" customHeight="1" thickBot="1" x14ac:dyDescent="0.25">
      <c r="A37" s="388"/>
      <c r="B37" s="389"/>
      <c r="C37" s="389"/>
      <c r="D37" s="389"/>
      <c r="E37" s="389"/>
      <c r="F37" s="389"/>
      <c r="G37" s="389" t="s">
        <v>63</v>
      </c>
      <c r="H37" s="389"/>
      <c r="I37" s="390"/>
      <c r="J37" s="390"/>
      <c r="K37" s="536">
        <f>SUM(K33:K36)</f>
        <v>2106233.7632000004</v>
      </c>
      <c r="L37" s="377"/>
      <c r="M37" s="523"/>
      <c r="P37" s="622">
        <f>P36+R37</f>
        <v>4.6000000000000014</v>
      </c>
      <c r="Q37" s="623">
        <v>30</v>
      </c>
      <c r="R37" s="71">
        <v>0.1</v>
      </c>
    </row>
    <row r="38" spans="1:22" ht="15" customHeight="1" x14ac:dyDescent="0.2">
      <c r="A38" s="377"/>
      <c r="B38" s="377"/>
      <c r="C38" s="377"/>
      <c r="D38" s="377"/>
      <c r="E38" s="377"/>
      <c r="F38" s="377"/>
      <c r="G38" s="377"/>
      <c r="I38" s="377"/>
      <c r="J38" s="377"/>
      <c r="K38" s="377"/>
      <c r="L38" s="377"/>
      <c r="M38" s="523"/>
    </row>
    <row r="39" spans="1:22" ht="15" customHeight="1" x14ac:dyDescent="0.3">
      <c r="A39" s="978" t="s">
        <v>341</v>
      </c>
      <c r="B39" s="979" t="s">
        <v>55</v>
      </c>
      <c r="C39" s="979" t="s">
        <v>56</v>
      </c>
      <c r="D39" s="979" t="s">
        <v>57</v>
      </c>
      <c r="E39" s="979" t="s">
        <v>340</v>
      </c>
      <c r="F39" s="979" t="s">
        <v>379</v>
      </c>
      <c r="G39" s="979" t="s">
        <v>58</v>
      </c>
      <c r="H39" s="979" t="s">
        <v>511</v>
      </c>
      <c r="I39" s="979" t="s">
        <v>512</v>
      </c>
      <c r="J39" s="979" t="s">
        <v>614</v>
      </c>
      <c r="K39" s="980" t="s">
        <v>339</v>
      </c>
      <c r="L39" s="976" t="s">
        <v>333</v>
      </c>
      <c r="M39" s="977" t="s">
        <v>688</v>
      </c>
      <c r="P39" s="404"/>
      <c r="Q39" s="402"/>
    </row>
    <row r="40" spans="1:22" ht="18" customHeight="1" x14ac:dyDescent="0.2">
      <c r="A40" s="382" t="s">
        <v>446</v>
      </c>
      <c r="B40" s="384">
        <v>22</v>
      </c>
      <c r="C40" s="472">
        <f>M40+H40+I40</f>
        <v>75.11018</v>
      </c>
      <c r="D40" s="384">
        <v>26</v>
      </c>
      <c r="E40" s="472">
        <f>C40*D40*80</f>
        <v>156229.17439999999</v>
      </c>
      <c r="F40" s="472"/>
      <c r="G40" s="472">
        <f t="shared" ref="G40:G43" si="31">E40</f>
        <v>156229.17439999999</v>
      </c>
      <c r="H40" s="567">
        <f>1.15+0.58+0.29</f>
        <v>2.02</v>
      </c>
      <c r="I40" s="568">
        <f>P29</f>
        <v>3.4000000000000012</v>
      </c>
      <c r="J40" s="564">
        <v>300</v>
      </c>
      <c r="K40" s="430">
        <f>G40+J40</f>
        <v>156529.17439999999</v>
      </c>
      <c r="L40" s="520">
        <v>38626</v>
      </c>
      <c r="M40" s="472">
        <f>68.19*1.022</f>
        <v>69.690179999999998</v>
      </c>
    </row>
    <row r="41" spans="1:22" ht="18" customHeight="1" x14ac:dyDescent="0.25">
      <c r="A41" s="532" t="s">
        <v>472</v>
      </c>
      <c r="B41" s="384">
        <v>5</v>
      </c>
      <c r="C41" s="472">
        <f>M41+I41</f>
        <v>33.982139999999994</v>
      </c>
      <c r="D41" s="384">
        <v>26</v>
      </c>
      <c r="E41" s="534">
        <f>C41*D41*80</f>
        <v>70682.85119999999</v>
      </c>
      <c r="F41" s="535"/>
      <c r="G41" s="472">
        <f t="shared" si="31"/>
        <v>70682.85119999999</v>
      </c>
      <c r="H41" s="600"/>
      <c r="I41" s="568">
        <f>P12</f>
        <v>0.89999999999999991</v>
      </c>
      <c r="J41" s="599"/>
      <c r="K41" s="430">
        <f>G41</f>
        <v>70682.85119999999</v>
      </c>
      <c r="L41" s="520">
        <v>41169</v>
      </c>
      <c r="M41" s="472">
        <f>32.37*1.022</f>
        <v>33.082139999999995</v>
      </c>
    </row>
    <row r="42" spans="1:22" ht="18" customHeight="1" x14ac:dyDescent="0.2">
      <c r="A42" s="382" t="s">
        <v>675</v>
      </c>
      <c r="B42" s="384">
        <v>1</v>
      </c>
      <c r="C42" s="472">
        <f>M42+I42</f>
        <v>15.33</v>
      </c>
      <c r="D42" s="384">
        <v>26</v>
      </c>
      <c r="E42" s="472">
        <f>C42*D42*60</f>
        <v>23914.799999999999</v>
      </c>
      <c r="F42" s="472"/>
      <c r="G42" s="472">
        <f t="shared" si="31"/>
        <v>23914.799999999999</v>
      </c>
      <c r="H42" s="600"/>
      <c r="I42" s="606"/>
      <c r="J42" s="599"/>
      <c r="K42" s="508">
        <f>G42</f>
        <v>23914.799999999999</v>
      </c>
      <c r="L42" s="520">
        <v>42986</v>
      </c>
      <c r="M42" s="472">
        <f>15*1.022</f>
        <v>15.33</v>
      </c>
      <c r="N42" s="377"/>
      <c r="P42" s="377"/>
    </row>
    <row r="43" spans="1:22" ht="18" customHeight="1" x14ac:dyDescent="0.2">
      <c r="A43" s="382" t="s">
        <v>741</v>
      </c>
      <c r="B43" s="384">
        <v>1</v>
      </c>
      <c r="C43" s="472">
        <f>M43+H43+I43</f>
        <v>30.324651999999997</v>
      </c>
      <c r="D43" s="384">
        <v>26</v>
      </c>
      <c r="E43" s="472">
        <f>C43*D43*80</f>
        <v>63075.276159999994</v>
      </c>
      <c r="F43" s="472"/>
      <c r="G43" s="472">
        <f t="shared" si="31"/>
        <v>63075.276159999994</v>
      </c>
      <c r="H43" s="568">
        <f>1.15</f>
        <v>1.1499999999999999</v>
      </c>
      <c r="I43" s="568">
        <f>P12</f>
        <v>0.89999999999999991</v>
      </c>
      <c r="J43" s="599"/>
      <c r="K43" s="430">
        <f>G43</f>
        <v>63075.276159999994</v>
      </c>
      <c r="L43" s="521">
        <v>43010</v>
      </c>
      <c r="M43" s="620">
        <f>((M9*2756)/2080)</f>
        <v>28.274652</v>
      </c>
    </row>
    <row r="44" spans="1:22" ht="18" customHeight="1" x14ac:dyDescent="0.2">
      <c r="A44" s="382" t="s">
        <v>414</v>
      </c>
      <c r="B44" s="384"/>
      <c r="C44" s="384" t="s">
        <v>413</v>
      </c>
      <c r="D44" s="384"/>
      <c r="E44" s="384"/>
      <c r="F44" s="384"/>
      <c r="G44" s="384"/>
      <c r="H44" s="567"/>
      <c r="I44" s="568"/>
      <c r="J44" s="564"/>
      <c r="K44" s="592">
        <v>90000</v>
      </c>
      <c r="M44" s="251"/>
      <c r="O44" s="377" t="s">
        <v>417</v>
      </c>
      <c r="P44" s="92"/>
      <c r="Q44" s="92"/>
      <c r="R44" s="24" t="s">
        <v>419</v>
      </c>
    </row>
    <row r="45" spans="1:22" ht="18" customHeight="1" x14ac:dyDescent="0.2">
      <c r="A45" s="35"/>
      <c r="B45" s="71"/>
      <c r="C45" s="71" t="s">
        <v>64</v>
      </c>
      <c r="D45" s="71"/>
      <c r="E45" s="71"/>
      <c r="F45" s="71"/>
      <c r="G45" s="71"/>
      <c r="H45" s="567"/>
      <c r="I45" s="569"/>
      <c r="J45" s="565"/>
      <c r="K45" s="522">
        <f>SUM(K40:K44)</f>
        <v>404202.10175999999</v>
      </c>
      <c r="M45" s="251"/>
      <c r="P45" s="526"/>
      <c r="Q45" s="527"/>
      <c r="R45" s="92"/>
    </row>
    <row r="46" spans="1:22" ht="18" customHeight="1" thickBot="1" x14ac:dyDescent="0.25">
      <c r="A46" s="391"/>
      <c r="B46" s="392"/>
      <c r="C46" s="392"/>
      <c r="D46" s="392"/>
      <c r="E46" s="392"/>
      <c r="F46" s="392"/>
      <c r="G46" s="392"/>
      <c r="H46" s="663"/>
      <c r="I46" s="570"/>
      <c r="J46" s="566"/>
      <c r="K46" s="533"/>
      <c r="O46" s="92"/>
      <c r="P46" s="92"/>
      <c r="Q46" s="92"/>
      <c r="R46" s="528"/>
    </row>
    <row r="47" spans="1:22" ht="18" customHeight="1" thickBot="1" x14ac:dyDescent="0.25">
      <c r="A47" s="393" t="s">
        <v>65</v>
      </c>
      <c r="B47" s="394">
        <f>AVERAGE(B40:B43)</f>
        <v>7.25</v>
      </c>
      <c r="C47" s="571"/>
      <c r="D47" s="573"/>
      <c r="E47" s="571"/>
      <c r="F47" s="571"/>
      <c r="G47" s="571"/>
      <c r="H47" s="664">
        <f>AVERAGE(H40:H40)</f>
        <v>2.02</v>
      </c>
      <c r="I47" s="572">
        <f>AVERAGE(I40:I41)</f>
        <v>2.1500000000000004</v>
      </c>
      <c r="J47" s="572">
        <f>SUM(J40:J46)</f>
        <v>300</v>
      </c>
      <c r="K47" s="537">
        <f>K37+K45</f>
        <v>2510435.8649600004</v>
      </c>
      <c r="L47" s="453" t="s">
        <v>418</v>
      </c>
      <c r="M47" s="408"/>
      <c r="R47" s="92"/>
      <c r="S47" s="92"/>
      <c r="T47" s="92"/>
      <c r="U47" s="92"/>
    </row>
    <row r="48" spans="1:22" ht="18" customHeight="1" x14ac:dyDescent="0.2">
      <c r="S48" s="529"/>
      <c r="T48" s="528"/>
      <c r="U48" s="530"/>
      <c r="V48" s="531"/>
    </row>
    <row r="49" spans="1:21" ht="15.75" customHeight="1" thickBot="1" x14ac:dyDescent="0.3">
      <c r="A49" s="59" t="s">
        <v>66</v>
      </c>
      <c r="N49" s="408"/>
      <c r="O49" s="408"/>
      <c r="S49" s="92"/>
      <c r="T49" s="92"/>
      <c r="U49" s="92"/>
    </row>
    <row r="50" spans="1:21" ht="17.25" customHeight="1" x14ac:dyDescent="0.2">
      <c r="A50" s="431" t="s">
        <v>67</v>
      </c>
      <c r="B50" s="432"/>
      <c r="C50" s="432"/>
      <c r="D50" s="432"/>
      <c r="E50" s="432"/>
      <c r="F50" s="432"/>
      <c r="G50" s="433">
        <f>'641 BENEFITS'!G4</f>
        <v>192048.34366944002</v>
      </c>
      <c r="H50" s="377" t="s">
        <v>454</v>
      </c>
    </row>
    <row r="51" spans="1:21" x14ac:dyDescent="0.2">
      <c r="A51" s="434" t="s">
        <v>374</v>
      </c>
      <c r="B51" s="384"/>
      <c r="C51" s="384"/>
      <c r="D51" s="384"/>
      <c r="E51" s="384"/>
      <c r="F51" s="384"/>
      <c r="G51" s="499">
        <f>'641 BENEFITS'!G5</f>
        <v>5250</v>
      </c>
    </row>
    <row r="52" spans="1:21" ht="13.5" x14ac:dyDescent="0.25">
      <c r="A52" s="434" t="s">
        <v>434</v>
      </c>
      <c r="B52" s="384"/>
      <c r="C52" s="384"/>
      <c r="D52" s="384"/>
      <c r="E52" s="384"/>
      <c r="F52" s="384"/>
      <c r="G52" s="499">
        <f>'641 BENEFITS'!G6+'641 BENEFITS'!G8</f>
        <v>394000</v>
      </c>
    </row>
    <row r="53" spans="1:21" x14ac:dyDescent="0.2">
      <c r="A53" s="434" t="s">
        <v>453</v>
      </c>
      <c r="B53" s="384"/>
      <c r="C53" s="384"/>
      <c r="D53" s="384"/>
      <c r="E53" s="384"/>
      <c r="F53" s="384"/>
      <c r="G53" s="499">
        <f>'641 BENEFITS'!G10+'641 BENEFITS'!G11+'641 BENEFITS'!G12</f>
        <v>16600</v>
      </c>
    </row>
    <row r="54" spans="1:21" ht="13.5" x14ac:dyDescent="0.25">
      <c r="A54" s="435" t="s">
        <v>371</v>
      </c>
      <c r="B54" s="429"/>
      <c r="C54" s="429"/>
      <c r="D54" s="429"/>
      <c r="E54" s="429"/>
      <c r="F54" s="429"/>
      <c r="G54" s="502">
        <f>'641 BENEFITS'!G9</f>
        <v>12000</v>
      </c>
      <c r="I54" s="538">
        <v>3.23</v>
      </c>
      <c r="J54" s="544">
        <v>0.88</v>
      </c>
      <c r="K54" s="540">
        <v>0.8</v>
      </c>
      <c r="L54" s="476">
        <v>2013</v>
      </c>
      <c r="M54" s="409" t="s">
        <v>421</v>
      </c>
      <c r="N54" s="410">
        <v>2012</v>
      </c>
      <c r="O54" s="414" t="s">
        <v>376</v>
      </c>
      <c r="P54" s="415">
        <v>2011</v>
      </c>
      <c r="Q54" s="409" t="s">
        <v>349</v>
      </c>
      <c r="R54" s="420"/>
    </row>
    <row r="55" spans="1:21" ht="13.5" x14ac:dyDescent="0.25">
      <c r="A55" s="436" t="s">
        <v>352</v>
      </c>
      <c r="B55" s="381"/>
      <c r="C55" s="381"/>
      <c r="D55" s="381"/>
      <c r="E55" s="561"/>
      <c r="F55" s="1005" t="s">
        <v>451</v>
      </c>
      <c r="G55" s="503">
        <f>K37/100*3.23*0.88*0.8</f>
        <v>47894.070788157449</v>
      </c>
      <c r="I55" s="35">
        <v>0.44</v>
      </c>
      <c r="J55" s="71">
        <v>0.88</v>
      </c>
      <c r="K55" s="541">
        <v>0.8</v>
      </c>
      <c r="L55" s="477">
        <v>2013</v>
      </c>
      <c r="M55" s="411" t="s">
        <v>422</v>
      </c>
      <c r="N55" s="412">
        <v>2012</v>
      </c>
      <c r="O55" s="416" t="s">
        <v>377</v>
      </c>
      <c r="P55" s="417">
        <v>2011</v>
      </c>
      <c r="Q55" s="411" t="s">
        <v>350</v>
      </c>
      <c r="R55" s="421"/>
    </row>
    <row r="56" spans="1:21" ht="13.5" x14ac:dyDescent="0.25">
      <c r="A56" s="434" t="s">
        <v>415</v>
      </c>
      <c r="B56" s="384"/>
      <c r="C56" s="384"/>
      <c r="D56" s="384"/>
      <c r="E56" s="489"/>
      <c r="F56" s="1006"/>
      <c r="G56" s="499">
        <f>(K45-K44)/100*0.44*0.88*0.8</f>
        <v>973.2724304117761</v>
      </c>
      <c r="I56" s="35">
        <v>5.68</v>
      </c>
      <c r="J56" s="71">
        <v>0.88</v>
      </c>
      <c r="K56" s="542">
        <v>0.8</v>
      </c>
      <c r="L56" s="477">
        <v>2013</v>
      </c>
      <c r="M56" s="411" t="s">
        <v>423</v>
      </c>
      <c r="N56" s="412">
        <v>2012</v>
      </c>
      <c r="O56" s="418" t="s">
        <v>378</v>
      </c>
      <c r="P56" s="419">
        <v>2011</v>
      </c>
      <c r="Q56" s="422" t="s">
        <v>351</v>
      </c>
      <c r="R56" s="423"/>
    </row>
    <row r="57" spans="1:21" ht="13.5" x14ac:dyDescent="0.25">
      <c r="A57" s="434" t="s">
        <v>353</v>
      </c>
      <c r="B57" s="384"/>
      <c r="C57" s="384"/>
      <c r="D57" s="384"/>
      <c r="E57" s="489"/>
      <c r="F57" s="1006"/>
      <c r="G57" s="594">
        <v>443.52</v>
      </c>
      <c r="I57" s="35">
        <v>0.43</v>
      </c>
      <c r="J57" s="545">
        <v>0.88</v>
      </c>
      <c r="K57" s="541">
        <v>0.8</v>
      </c>
      <c r="L57" s="477">
        <v>2013</v>
      </c>
      <c r="M57" s="424" t="s">
        <v>424</v>
      </c>
      <c r="N57" s="412">
        <v>2012</v>
      </c>
      <c r="O57" s="92"/>
    </row>
    <row r="58" spans="1:21" ht="13.5" x14ac:dyDescent="0.25">
      <c r="A58" s="435" t="s">
        <v>416</v>
      </c>
      <c r="B58" s="429"/>
      <c r="C58" s="429"/>
      <c r="D58" s="429"/>
      <c r="E58" s="562"/>
      <c r="F58" s="1006"/>
      <c r="G58" s="502">
        <f>K44/100*0.43*0.88*0.8</f>
        <v>272.44800000000004</v>
      </c>
      <c r="I58" s="539">
        <v>0.39</v>
      </c>
      <c r="J58" s="546">
        <v>0.88</v>
      </c>
      <c r="K58" s="543">
        <v>0.8</v>
      </c>
      <c r="L58" s="478">
        <v>2013</v>
      </c>
      <c r="M58" s="134" t="s">
        <v>425</v>
      </c>
      <c r="N58" s="413">
        <v>2012</v>
      </c>
      <c r="O58" s="92"/>
    </row>
    <row r="59" spans="1:21" ht="14.25" thickBot="1" x14ac:dyDescent="0.3">
      <c r="A59" s="435" t="s">
        <v>420</v>
      </c>
      <c r="B59" s="429"/>
      <c r="C59" s="429"/>
      <c r="D59" s="429"/>
      <c r="E59" s="562"/>
      <c r="F59" s="1007"/>
      <c r="G59" s="563">
        <f>3000/100*0.39*0.88*0.8</f>
        <v>8.2368000000000006</v>
      </c>
      <c r="K59" s="396" t="s">
        <v>450</v>
      </c>
      <c r="L59" s="395"/>
      <c r="M59" s="378"/>
      <c r="N59" s="92"/>
    </row>
    <row r="60" spans="1:21" x14ac:dyDescent="0.2">
      <c r="A60" s="492" t="s">
        <v>393</v>
      </c>
      <c r="B60" s="428"/>
      <c r="C60" s="428"/>
      <c r="D60" s="428"/>
      <c r="E60" s="428"/>
      <c r="F60" s="519"/>
      <c r="G60" s="595"/>
    </row>
    <row r="61" spans="1:21" ht="15.75" x14ac:dyDescent="0.25">
      <c r="A61" s="493" t="s">
        <v>354</v>
      </c>
      <c r="B61" s="387"/>
      <c r="C61" s="387"/>
      <c r="D61" s="387"/>
      <c r="E61" s="387"/>
      <c r="F61" s="387"/>
      <c r="G61" s="504">
        <f>'641 BENEFITS'!G19</f>
        <v>18000</v>
      </c>
      <c r="H61" s="665"/>
      <c r="J61" s="490" t="s">
        <v>462</v>
      </c>
      <c r="K61" s="490"/>
      <c r="L61" s="490"/>
      <c r="M61" s="490"/>
      <c r="N61" s="490"/>
      <c r="O61" s="377"/>
    </row>
    <row r="62" spans="1:21" x14ac:dyDescent="0.2">
      <c r="A62" s="434" t="s">
        <v>375</v>
      </c>
      <c r="B62" s="384"/>
      <c r="C62" s="384"/>
      <c r="D62" s="384"/>
      <c r="E62" s="384"/>
      <c r="F62" s="384"/>
      <c r="G62" s="499">
        <f>'641 BENEFITS'!G20+'641 BENEFITS'!G21+'641 BENEFITS'!G22</f>
        <v>10872</v>
      </c>
    </row>
    <row r="63" spans="1:21" x14ac:dyDescent="0.2">
      <c r="A63" s="434" t="s">
        <v>75</v>
      </c>
      <c r="B63" s="384"/>
      <c r="C63" s="384"/>
      <c r="D63" s="384"/>
      <c r="E63" s="384"/>
      <c r="F63" s="384"/>
      <c r="G63" s="499">
        <f>'641 BENEFITS'!G23</f>
        <v>2000</v>
      </c>
      <c r="Q63" s="325"/>
    </row>
    <row r="64" spans="1:21" ht="13.5" thickBot="1" x14ac:dyDescent="0.25">
      <c r="A64" s="437" t="s">
        <v>736</v>
      </c>
      <c r="B64" s="438"/>
      <c r="C64" s="438"/>
      <c r="D64" s="438"/>
      <c r="E64" s="438"/>
      <c r="F64" s="438"/>
      <c r="G64" s="439">
        <f>(K47-K36-K42-K44)*0.14</f>
        <v>332430.83419840015</v>
      </c>
    </row>
    <row r="65" spans="1:12" ht="14.25" thickTop="1" thickBot="1" x14ac:dyDescent="0.25">
      <c r="A65" s="397" t="s">
        <v>76</v>
      </c>
      <c r="B65" s="398"/>
      <c r="C65" s="398"/>
      <c r="D65" s="398"/>
      <c r="E65" s="398"/>
      <c r="F65" s="398"/>
      <c r="G65" s="427">
        <f>SUM(G50:G64)</f>
        <v>1032792.7258864093</v>
      </c>
      <c r="K65" s="251">
        <f>(K47-K36-K42-K44)*0.1</f>
        <v>237450.59585600009</v>
      </c>
      <c r="L65" s="24" t="s">
        <v>737</v>
      </c>
    </row>
    <row r="66" spans="1:12" ht="15" thickTop="1" thickBot="1" x14ac:dyDescent="0.3">
      <c r="A66" s="399" t="s">
        <v>77</v>
      </c>
      <c r="B66" s="400"/>
      <c r="C66" s="400"/>
      <c r="D66" s="400"/>
      <c r="E66" s="400"/>
      <c r="F66" s="400"/>
      <c r="G66" s="491">
        <f>K47+G65</f>
        <v>3543228.5908464096</v>
      </c>
    </row>
    <row r="68" spans="1:12" x14ac:dyDescent="0.2">
      <c r="E68" s="401"/>
    </row>
    <row r="69" spans="1:12" x14ac:dyDescent="0.2">
      <c r="G69" s="251"/>
    </row>
  </sheetData>
  <sortState ref="A22:M26">
    <sortCondition descending="1" ref="B22:B26"/>
  </sortState>
  <mergeCells count="2">
    <mergeCell ref="F55:F59"/>
    <mergeCell ref="P6:R6"/>
  </mergeCells>
  <pageMargins left="0.7" right="0.7" top="0.75" bottom="0.75" header="0.3" footer="0.3"/>
  <pageSetup scale="63" fitToHeight="2" orientation="landscape" r:id="rId1"/>
  <headerFooter>
    <oddHeader xml:space="preserve">&amp;C&amp;"Arial,Bold"&amp;12PAYROLL - 642&amp;"Arial,Regular"&amp;10
</oddHeader>
    <oddFooter>&amp;L&amp;Z&amp;F, &amp;A&amp;R&amp;D</oddFooter>
  </headerFooter>
  <rowBreaks count="2" manualBreakCount="2">
    <brk id="38" max="16383" man="1"/>
    <brk id="4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RowHeight="12.75" x14ac:dyDescent="0.2"/>
  <cols>
    <col min="1" max="1" width="15.28515625" style="24" customWidth="1"/>
    <col min="2" max="2" width="10.85546875" style="24" customWidth="1"/>
    <col min="3" max="3" width="9.28515625" style="24" customWidth="1"/>
    <col min="4" max="4" width="9.5703125" style="24" customWidth="1"/>
    <col min="5" max="5" width="11" style="24" customWidth="1"/>
    <col min="6" max="6" width="9.42578125" style="24" customWidth="1"/>
    <col min="7" max="7" width="10.28515625" style="24" customWidth="1"/>
    <col min="8" max="8" width="10.5703125" style="24" customWidth="1"/>
    <col min="9" max="9" width="11.140625" style="24" customWidth="1"/>
    <col min="10" max="10" width="11.28515625" style="24" bestFit="1" customWidth="1"/>
    <col min="11" max="11" width="9.140625" style="24"/>
    <col min="12" max="12" width="10.7109375" style="24" bestFit="1" customWidth="1"/>
    <col min="13" max="13" width="11.28515625" style="24" bestFit="1" customWidth="1"/>
    <col min="14" max="16384" width="9.140625" style="24"/>
  </cols>
  <sheetData>
    <row r="1" spans="1:12" s="252" customFormat="1" ht="21" customHeight="1" x14ac:dyDescent="0.2">
      <c r="A1" s="334"/>
      <c r="B1" s="335" t="s">
        <v>244</v>
      </c>
      <c r="C1" s="336" t="s">
        <v>241</v>
      </c>
      <c r="D1" s="336" t="s">
        <v>373</v>
      </c>
      <c r="E1" s="336" t="s">
        <v>245</v>
      </c>
      <c r="F1" s="336" t="s">
        <v>246</v>
      </c>
      <c r="G1" s="336" t="s">
        <v>243</v>
      </c>
      <c r="H1" s="336" t="s">
        <v>401</v>
      </c>
      <c r="I1" s="138" t="s">
        <v>144</v>
      </c>
      <c r="J1" s="1012" t="s">
        <v>461</v>
      </c>
    </row>
    <row r="2" spans="1:12" s="252" customFormat="1" ht="21" customHeight="1" x14ac:dyDescent="0.2">
      <c r="A2" s="337" t="s">
        <v>247</v>
      </c>
      <c r="B2" s="338">
        <v>61865</v>
      </c>
      <c r="C2" s="338">
        <f>B2*0.0765</f>
        <v>4732.6724999999997</v>
      </c>
      <c r="D2" s="338">
        <v>119.9</v>
      </c>
      <c r="E2" s="339">
        <f>B2/100*3.33*1.36*0.85</f>
        <v>2381.480802</v>
      </c>
      <c r="F2" s="338">
        <v>1455.67</v>
      </c>
      <c r="G2" s="338">
        <v>8960.0400000000009</v>
      </c>
      <c r="H2" s="338">
        <f>B2*0.095</f>
        <v>5877.1750000000002</v>
      </c>
      <c r="I2" s="141">
        <f>SUM(B2:H2)</f>
        <v>85391.93830200001</v>
      </c>
      <c r="J2" s="1012"/>
    </row>
    <row r="3" spans="1:12" ht="18" customHeight="1" x14ac:dyDescent="0.2">
      <c r="A3" s="340" t="s">
        <v>247</v>
      </c>
      <c r="B3" s="339">
        <v>61268</v>
      </c>
      <c r="C3" s="339">
        <f>B3*0.0765</f>
        <v>4687.0019999999995</v>
      </c>
      <c r="D3" s="339">
        <v>119.9</v>
      </c>
      <c r="E3" s="339">
        <f t="shared" ref="E3:E20" si="0">B3/100*3.33*1.36*0.85</f>
        <v>2358.4994063999998</v>
      </c>
      <c r="F3" s="339">
        <v>1455.67</v>
      </c>
      <c r="G3" s="339">
        <v>8960.0400000000009</v>
      </c>
      <c r="H3" s="339">
        <f t="shared" ref="H3:H25" si="1">B3*0.095</f>
        <v>5820.46</v>
      </c>
      <c r="I3" s="139">
        <f t="shared" ref="I3:I8" si="2">SUM(B3:H3)</f>
        <v>84669.571406399991</v>
      </c>
      <c r="J3" s="1012"/>
    </row>
    <row r="4" spans="1:12" ht="18" customHeight="1" x14ac:dyDescent="0.2">
      <c r="A4" s="348" t="s">
        <v>247</v>
      </c>
      <c r="B4" s="349">
        <v>61269</v>
      </c>
      <c r="C4" s="349">
        <f>B4*0.0765</f>
        <v>4687.0784999999996</v>
      </c>
      <c r="D4" s="349">
        <v>119.9</v>
      </c>
      <c r="E4" s="349">
        <f t="shared" si="0"/>
        <v>2358.5379012000003</v>
      </c>
      <c r="F4" s="349">
        <v>1455.67</v>
      </c>
      <c r="G4" s="349">
        <v>8960.0400000000009</v>
      </c>
      <c r="H4" s="349">
        <f t="shared" si="1"/>
        <v>5820.5550000000003</v>
      </c>
      <c r="I4" s="332">
        <f>SUM(B4:H4)</f>
        <v>84670.781401199987</v>
      </c>
      <c r="J4" s="1012"/>
    </row>
    <row r="5" spans="1:12" ht="18" customHeight="1" x14ac:dyDescent="0.2">
      <c r="A5" s="356" t="s">
        <v>248</v>
      </c>
      <c r="B5" s="338">
        <v>52203</v>
      </c>
      <c r="C5" s="338">
        <f>B5*0.0765</f>
        <v>3993.5295000000001</v>
      </c>
      <c r="D5" s="338">
        <v>119.9</v>
      </c>
      <c r="E5" s="338">
        <f>B5/100*3.33*1.36*0.85</f>
        <v>2009.5440444000001</v>
      </c>
      <c r="F5" s="338">
        <v>1455.67</v>
      </c>
      <c r="G5" s="338">
        <v>4777.76</v>
      </c>
      <c r="H5" s="338">
        <f>B5*0.095</f>
        <v>4959.2849999999999</v>
      </c>
      <c r="I5" s="371">
        <f>SUM(B5:H5)</f>
        <v>69518.688544399993</v>
      </c>
      <c r="J5" s="1012"/>
    </row>
    <row r="6" spans="1:12" ht="18" customHeight="1" x14ac:dyDescent="0.2">
      <c r="A6" s="357" t="s">
        <v>248</v>
      </c>
      <c r="B6" s="339">
        <v>52504.3</v>
      </c>
      <c r="C6" s="339">
        <f t="shared" ref="C6:C35" si="3">B6*0.0765</f>
        <v>4016.5789500000001</v>
      </c>
      <c r="D6" s="339">
        <v>119.9</v>
      </c>
      <c r="E6" s="339">
        <f t="shared" si="0"/>
        <v>2021.1425276400003</v>
      </c>
      <c r="F6" s="339">
        <v>1455.67</v>
      </c>
      <c r="G6" s="339">
        <v>8960.0400000000009</v>
      </c>
      <c r="H6" s="339">
        <f t="shared" si="1"/>
        <v>4987.9085000000005</v>
      </c>
      <c r="I6" s="139">
        <f t="shared" si="2"/>
        <v>74065.539977640015</v>
      </c>
      <c r="J6" s="1012"/>
    </row>
    <row r="7" spans="1:12" ht="18" customHeight="1" x14ac:dyDescent="0.2">
      <c r="A7" s="358" t="s">
        <v>248</v>
      </c>
      <c r="B7" s="342">
        <v>51304.3</v>
      </c>
      <c r="C7" s="342">
        <f>B7*0.0765</f>
        <v>3924.7789500000003</v>
      </c>
      <c r="D7" s="342">
        <v>119.9</v>
      </c>
      <c r="E7" s="342">
        <f>B7/100*3.33*1.36*0.85</f>
        <v>1974.9487676400001</v>
      </c>
      <c r="F7" s="342">
        <v>1455.67</v>
      </c>
      <c r="G7" s="342">
        <v>4777.76</v>
      </c>
      <c r="H7" s="342">
        <f>B7*0.095</f>
        <v>4873.9085000000005</v>
      </c>
      <c r="I7" s="369">
        <f>SUM(B7:H7)</f>
        <v>68431.266217640004</v>
      </c>
      <c r="J7" s="1012"/>
      <c r="L7" s="251"/>
    </row>
    <row r="8" spans="1:12" s="92" customFormat="1" ht="18" customHeight="1" x14ac:dyDescent="0.2">
      <c r="A8" s="367" t="s">
        <v>405</v>
      </c>
      <c r="B8" s="363">
        <v>55456.37</v>
      </c>
      <c r="C8" s="363">
        <f t="shared" si="3"/>
        <v>4242.4123049999998</v>
      </c>
      <c r="D8" s="363">
        <v>119.9</v>
      </c>
      <c r="E8" s="366">
        <f t="shared" si="0"/>
        <v>2134.7818718760004</v>
      </c>
      <c r="F8" s="360">
        <v>1455.67</v>
      </c>
      <c r="G8" s="363">
        <v>4777.76</v>
      </c>
      <c r="H8" s="360">
        <f t="shared" si="1"/>
        <v>5268.3551500000003</v>
      </c>
      <c r="I8" s="370">
        <f t="shared" si="2"/>
        <v>73455.249326876001</v>
      </c>
      <c r="J8" s="1012"/>
    </row>
    <row r="9" spans="1:12" ht="18" customHeight="1" x14ac:dyDescent="0.2">
      <c r="A9" s="356" t="s">
        <v>249</v>
      </c>
      <c r="B9" s="338">
        <v>48731.7</v>
      </c>
      <c r="C9" s="338">
        <f>B9*0.0765</f>
        <v>3727.9750499999996</v>
      </c>
      <c r="D9" s="338">
        <v>119.9</v>
      </c>
      <c r="E9" s="338">
        <f>B9/100*3.33*1.36*0.85</f>
        <v>1875.91704516</v>
      </c>
      <c r="F9" s="338">
        <v>1455.67</v>
      </c>
      <c r="G9" s="338">
        <v>4776.76</v>
      </c>
      <c r="H9" s="338">
        <f>B9*0.095</f>
        <v>4629.5114999999996</v>
      </c>
      <c r="I9" s="371">
        <f>SUM(B9:H9)</f>
        <v>65317.433595160001</v>
      </c>
      <c r="J9" s="1012"/>
    </row>
    <row r="10" spans="1:12" ht="18" customHeight="1" x14ac:dyDescent="0.2">
      <c r="A10" s="357" t="s">
        <v>249</v>
      </c>
      <c r="B10" s="339">
        <v>49693.7</v>
      </c>
      <c r="C10" s="339">
        <f t="shared" ref="C10:C17" si="4">B10*0.0765</f>
        <v>3801.5680499999999</v>
      </c>
      <c r="D10" s="339">
        <v>119.9</v>
      </c>
      <c r="E10" s="339">
        <f t="shared" si="0"/>
        <v>1912.9490427599999</v>
      </c>
      <c r="F10" s="339">
        <v>1455.67</v>
      </c>
      <c r="G10" s="339">
        <v>4777.76</v>
      </c>
      <c r="H10" s="339">
        <f t="shared" si="1"/>
        <v>4720.9014999999999</v>
      </c>
      <c r="I10" s="372">
        <f t="shared" ref="I10:I27" si="5">SUM(B10:H10)</f>
        <v>66482.448592760004</v>
      </c>
      <c r="J10" s="1012"/>
    </row>
    <row r="11" spans="1:12" ht="18" customHeight="1" x14ac:dyDescent="0.2">
      <c r="A11" s="357" t="s">
        <v>249</v>
      </c>
      <c r="B11" s="339">
        <v>49093.7</v>
      </c>
      <c r="C11" s="339">
        <f>B11*0.0765</f>
        <v>3755.6680499999998</v>
      </c>
      <c r="D11" s="339">
        <v>119.9</v>
      </c>
      <c r="E11" s="339">
        <f>B11/100*3.33*1.36*0.85</f>
        <v>1889.8521627600001</v>
      </c>
      <c r="F11" s="339">
        <v>1455.67</v>
      </c>
      <c r="G11" s="339">
        <v>8960.0400000000009</v>
      </c>
      <c r="H11" s="339">
        <f>B11*0.095</f>
        <v>4663.9014999999999</v>
      </c>
      <c r="I11" s="139">
        <f>SUM(B11:H11)</f>
        <v>69938.731712759996</v>
      </c>
      <c r="J11" s="1012"/>
    </row>
    <row r="12" spans="1:12" ht="18" customHeight="1" x14ac:dyDescent="0.2">
      <c r="A12" s="357" t="s">
        <v>249</v>
      </c>
      <c r="B12" s="339">
        <v>48135.7</v>
      </c>
      <c r="C12" s="339">
        <f t="shared" si="4"/>
        <v>3682.3810499999995</v>
      </c>
      <c r="D12" s="339">
        <v>119.9</v>
      </c>
      <c r="E12" s="339">
        <f t="shared" si="0"/>
        <v>1852.9741443599999</v>
      </c>
      <c r="F12" s="339">
        <v>1455.67</v>
      </c>
      <c r="G12" s="339">
        <v>4777.76</v>
      </c>
      <c r="H12" s="339">
        <f t="shared" si="1"/>
        <v>4572.8914999999997</v>
      </c>
      <c r="I12" s="372">
        <f t="shared" si="5"/>
        <v>64597.276694359993</v>
      </c>
      <c r="J12" s="1012"/>
    </row>
    <row r="13" spans="1:12" ht="18" customHeight="1" x14ac:dyDescent="0.2">
      <c r="A13" s="357" t="s">
        <v>249</v>
      </c>
      <c r="B13" s="339">
        <v>46636.7</v>
      </c>
      <c r="C13" s="339">
        <f>B13*0.0765</f>
        <v>3567.7075499999996</v>
      </c>
      <c r="D13" s="339">
        <v>119.9</v>
      </c>
      <c r="E13" s="339">
        <f>B13/100*3.33*1.36*0.85</f>
        <v>1795.2704391599998</v>
      </c>
      <c r="F13" s="339">
        <v>1455.67</v>
      </c>
      <c r="G13" s="339">
        <v>7301.36</v>
      </c>
      <c r="H13" s="339">
        <f>B13*0.095</f>
        <v>4430.4865</v>
      </c>
      <c r="I13" s="372">
        <f>SUM(B13:H13)</f>
        <v>65307.094489159994</v>
      </c>
      <c r="J13" s="1012"/>
    </row>
    <row r="14" spans="1:12" ht="18" customHeight="1" x14ac:dyDescent="0.2">
      <c r="A14" s="358" t="s">
        <v>249</v>
      </c>
      <c r="B14" s="342">
        <v>49636.7</v>
      </c>
      <c r="C14" s="342">
        <f>B14*0.0765</f>
        <v>3797.2075499999996</v>
      </c>
      <c r="D14" s="342">
        <v>119.9</v>
      </c>
      <c r="E14" s="342">
        <f>B14/100*3.33*1.36*0.85</f>
        <v>1910.7548391600003</v>
      </c>
      <c r="F14" s="342">
        <v>1455.67</v>
      </c>
      <c r="G14" s="342">
        <v>4777.76</v>
      </c>
      <c r="H14" s="342">
        <f>B14*0.095</f>
        <v>4715.4865</v>
      </c>
      <c r="I14" s="369">
        <f>SUM(B14:H14)</f>
        <v>66413.478889160004</v>
      </c>
      <c r="J14" s="1012"/>
    </row>
    <row r="15" spans="1:12" ht="18" customHeight="1" x14ac:dyDescent="0.2">
      <c r="A15" s="356" t="s">
        <v>250</v>
      </c>
      <c r="B15" s="338">
        <v>42269.3</v>
      </c>
      <c r="C15" s="338">
        <f>B15*0.0765</f>
        <v>3233.6014500000001</v>
      </c>
      <c r="D15" s="338">
        <v>119.9</v>
      </c>
      <c r="E15" s="338">
        <f>B15/100*3.33*1.36*0.85</f>
        <v>1627.1482496400001</v>
      </c>
      <c r="F15" s="338">
        <v>1455.67</v>
      </c>
      <c r="G15" s="338">
        <v>8960.0400000000009</v>
      </c>
      <c r="H15" s="338">
        <f>B15*0.095</f>
        <v>4015.5835000000002</v>
      </c>
      <c r="I15" s="371">
        <f>SUM(B15:H15)</f>
        <v>61681.243199640005</v>
      </c>
      <c r="J15" s="1012"/>
    </row>
    <row r="16" spans="1:12" ht="18" customHeight="1" x14ac:dyDescent="0.2">
      <c r="A16" s="340" t="s">
        <v>250</v>
      </c>
      <c r="B16" s="339">
        <v>42631.3</v>
      </c>
      <c r="C16" s="339">
        <f t="shared" si="4"/>
        <v>3261.2944500000003</v>
      </c>
      <c r="D16" s="339">
        <v>119.9</v>
      </c>
      <c r="E16" s="339">
        <f t="shared" si="0"/>
        <v>1641.0833672400004</v>
      </c>
      <c r="F16" s="339">
        <v>1455.67</v>
      </c>
      <c r="G16" s="339">
        <v>4777.76</v>
      </c>
      <c r="H16" s="339">
        <f t="shared" si="1"/>
        <v>4049.9735000000005</v>
      </c>
      <c r="I16" s="139">
        <f t="shared" si="5"/>
        <v>57936.981317240003</v>
      </c>
      <c r="J16" s="1012"/>
    </row>
    <row r="17" spans="1:13" ht="18" customHeight="1" x14ac:dyDescent="0.2">
      <c r="A17" s="340" t="s">
        <v>250</v>
      </c>
      <c r="B17" s="339">
        <v>43831.3</v>
      </c>
      <c r="C17" s="339">
        <f t="shared" si="4"/>
        <v>3353.0944500000001</v>
      </c>
      <c r="D17" s="339">
        <v>119.9</v>
      </c>
      <c r="E17" s="339">
        <f t="shared" si="0"/>
        <v>1687.2771272400003</v>
      </c>
      <c r="F17" s="339">
        <v>1455.67</v>
      </c>
      <c r="G17" s="339">
        <v>8960.0400000000009</v>
      </c>
      <c r="H17" s="339">
        <f t="shared" si="1"/>
        <v>4163.9735000000001</v>
      </c>
      <c r="I17" s="139">
        <f t="shared" si="5"/>
        <v>63571.255077239999</v>
      </c>
      <c r="J17" s="1012"/>
    </row>
    <row r="18" spans="1:13" ht="18" customHeight="1" x14ac:dyDescent="0.2">
      <c r="A18" s="340" t="s">
        <v>250</v>
      </c>
      <c r="B18" s="339">
        <v>42631.3</v>
      </c>
      <c r="C18" s="339">
        <f t="shared" ref="C18:C20" si="6">B18*0.0765</f>
        <v>3261.2944500000003</v>
      </c>
      <c r="D18" s="339">
        <v>119.9</v>
      </c>
      <c r="E18" s="339">
        <f t="shared" si="0"/>
        <v>1641.0833672400004</v>
      </c>
      <c r="F18" s="339">
        <v>1455.67</v>
      </c>
      <c r="G18" s="339">
        <v>6983.72</v>
      </c>
      <c r="H18" s="339">
        <f t="shared" si="1"/>
        <v>4049.9735000000005</v>
      </c>
      <c r="I18" s="139">
        <f t="shared" ref="I18:I20" si="7">SUM(B18:H18)</f>
        <v>60142.941317240002</v>
      </c>
      <c r="J18" s="1012"/>
    </row>
    <row r="19" spans="1:13" ht="18" customHeight="1" x14ac:dyDescent="0.2">
      <c r="A19" s="340" t="s">
        <v>250</v>
      </c>
      <c r="B19" s="339">
        <v>42631.3</v>
      </c>
      <c r="C19" s="339">
        <f t="shared" si="6"/>
        <v>3261.2944500000003</v>
      </c>
      <c r="D19" s="339">
        <v>119.9</v>
      </c>
      <c r="E19" s="339">
        <f t="shared" si="0"/>
        <v>1641.0833672400004</v>
      </c>
      <c r="F19" s="339">
        <v>1455.67</v>
      </c>
      <c r="G19" s="339">
        <v>8960.0400000000009</v>
      </c>
      <c r="H19" s="339">
        <f t="shared" si="1"/>
        <v>4049.9735000000005</v>
      </c>
      <c r="I19" s="139">
        <f t="shared" si="7"/>
        <v>62119.261317240002</v>
      </c>
      <c r="J19" s="1012"/>
    </row>
    <row r="20" spans="1:13" ht="18" customHeight="1" x14ac:dyDescent="0.2">
      <c r="A20" s="340" t="s">
        <v>250</v>
      </c>
      <c r="B20" s="339">
        <v>41671.300000000003</v>
      </c>
      <c r="C20" s="339">
        <f t="shared" si="6"/>
        <v>3187.8544500000003</v>
      </c>
      <c r="D20" s="339">
        <v>119.9</v>
      </c>
      <c r="E20" s="339">
        <f t="shared" si="0"/>
        <v>1604.1283592400002</v>
      </c>
      <c r="F20" s="339">
        <v>1455.67</v>
      </c>
      <c r="G20" s="339">
        <v>4777.76</v>
      </c>
      <c r="H20" s="339">
        <f t="shared" si="1"/>
        <v>3958.7735000000002</v>
      </c>
      <c r="I20" s="139">
        <f t="shared" si="7"/>
        <v>56775.386309240006</v>
      </c>
      <c r="J20" s="1012"/>
    </row>
    <row r="21" spans="1:13" ht="18" customHeight="1" x14ac:dyDescent="0.2">
      <c r="A21" s="340" t="s">
        <v>406</v>
      </c>
      <c r="B21" s="339">
        <v>250096.8</v>
      </c>
      <c r="C21" s="339">
        <f t="shared" ref="C21:C22" si="8">B21*0.0765</f>
        <v>19132.405199999997</v>
      </c>
      <c r="D21" s="339">
        <v>720</v>
      </c>
      <c r="E21" s="339">
        <f t="shared" ref="E21:E26" si="9">B21/100*3.33*1.36*0.85</f>
        <v>9627.4262966400001</v>
      </c>
      <c r="F21" s="339">
        <v>8734.02</v>
      </c>
      <c r="G21" s="339">
        <v>31503.8</v>
      </c>
      <c r="H21" s="339">
        <f t="shared" si="1"/>
        <v>23759.196</v>
      </c>
      <c r="I21" s="139">
        <f t="shared" ref="I21:I22" si="10">SUM(B21:H21)</f>
        <v>343573.64749663998</v>
      </c>
      <c r="J21" s="1012"/>
    </row>
    <row r="22" spans="1:13" ht="18" customHeight="1" x14ac:dyDescent="0.2">
      <c r="A22" s="340" t="s">
        <v>407</v>
      </c>
      <c r="B22" s="339">
        <v>80054.179999999993</v>
      </c>
      <c r="C22" s="339">
        <f t="shared" si="8"/>
        <v>6124.144769999999</v>
      </c>
      <c r="D22" s="339">
        <v>240</v>
      </c>
      <c r="E22" s="339">
        <f t="shared" si="9"/>
        <v>3081.669648264</v>
      </c>
      <c r="F22" s="339">
        <v>2911.3420000000001</v>
      </c>
      <c r="G22" s="339">
        <v>9555.52</v>
      </c>
      <c r="H22" s="339">
        <f t="shared" si="1"/>
        <v>7605.1470999999992</v>
      </c>
      <c r="I22" s="139">
        <f t="shared" si="10"/>
        <v>109572.003518264</v>
      </c>
      <c r="J22" s="1012"/>
    </row>
    <row r="23" spans="1:13" ht="18" customHeight="1" x14ac:dyDescent="0.2">
      <c r="A23" s="348" t="s">
        <v>395</v>
      </c>
      <c r="B23" s="349">
        <v>39372.449999999997</v>
      </c>
      <c r="C23" s="349">
        <f>B23*0.0765</f>
        <v>3011.9924249999999</v>
      </c>
      <c r="D23" s="349">
        <v>120</v>
      </c>
      <c r="E23" s="349">
        <f t="shared" si="9"/>
        <v>1515.6345882599999</v>
      </c>
      <c r="F23" s="339">
        <v>1455.67</v>
      </c>
      <c r="G23" s="349">
        <v>4777.76</v>
      </c>
      <c r="H23" s="339">
        <f t="shared" si="1"/>
        <v>3740.3827499999998</v>
      </c>
      <c r="I23" s="332">
        <f>SUM(B23:H23)</f>
        <v>53993.889763259991</v>
      </c>
      <c r="J23" s="1012"/>
      <c r="L23" s="333"/>
    </row>
    <row r="24" spans="1:13" ht="17.25" customHeight="1" x14ac:dyDescent="0.2">
      <c r="A24" s="343" t="s">
        <v>79</v>
      </c>
      <c r="B24" s="338">
        <v>65220</v>
      </c>
      <c r="C24" s="338">
        <f t="shared" si="3"/>
        <v>4989.33</v>
      </c>
      <c r="D24" s="344"/>
      <c r="E24" s="338">
        <f t="shared" si="9"/>
        <v>2510.6308560000002</v>
      </c>
      <c r="F24" s="344"/>
      <c r="G24" s="344"/>
      <c r="H24" s="338">
        <f t="shared" si="1"/>
        <v>6195.9</v>
      </c>
      <c r="I24" s="141">
        <f t="shared" si="5"/>
        <v>78915.860855999999</v>
      </c>
      <c r="J24" s="1012"/>
    </row>
    <row r="25" spans="1:13" ht="18" customHeight="1" x14ac:dyDescent="0.2">
      <c r="A25" s="345" t="s">
        <v>169</v>
      </c>
      <c r="B25" s="339">
        <v>11869</v>
      </c>
      <c r="C25" s="339">
        <f t="shared" si="3"/>
        <v>907.97849999999994</v>
      </c>
      <c r="D25" s="346"/>
      <c r="E25" s="339">
        <f t="shared" si="9"/>
        <v>456.89478120000001</v>
      </c>
      <c r="F25" s="346"/>
      <c r="G25" s="346"/>
      <c r="H25" s="339">
        <f t="shared" si="1"/>
        <v>1127.5550000000001</v>
      </c>
      <c r="I25" s="139">
        <f t="shared" si="5"/>
        <v>14361.4282812</v>
      </c>
      <c r="J25" s="1012"/>
      <c r="L25" s="333"/>
    </row>
    <row r="26" spans="1:13" ht="18" customHeight="1" x14ac:dyDescent="0.2">
      <c r="A26" s="345" t="s">
        <v>402</v>
      </c>
      <c r="B26" s="339">
        <v>16124</v>
      </c>
      <c r="C26" s="339">
        <f t="shared" si="3"/>
        <v>1233.4859999999999</v>
      </c>
      <c r="D26" s="339">
        <v>492</v>
      </c>
      <c r="E26" s="339">
        <f t="shared" si="9"/>
        <v>620.69015520000005</v>
      </c>
      <c r="F26" s="339">
        <v>650.21119999999996</v>
      </c>
      <c r="G26" s="346"/>
      <c r="H26" s="346"/>
      <c r="I26" s="139">
        <f t="shared" si="5"/>
        <v>19120.387355200004</v>
      </c>
      <c r="J26" s="1012"/>
      <c r="M26" s="333"/>
    </row>
    <row r="27" spans="1:13" ht="18" customHeight="1" x14ac:dyDescent="0.2">
      <c r="A27" s="359" t="s">
        <v>400</v>
      </c>
      <c r="B27" s="361"/>
      <c r="C27" s="361"/>
      <c r="D27" s="361"/>
      <c r="E27" s="360">
        <v>965.41</v>
      </c>
      <c r="F27" s="360">
        <v>405.59</v>
      </c>
      <c r="G27" s="361"/>
      <c r="H27" s="368"/>
      <c r="I27" s="139">
        <f t="shared" si="5"/>
        <v>1371</v>
      </c>
      <c r="J27" s="1012"/>
      <c r="M27" s="333"/>
    </row>
    <row r="28" spans="1:13" ht="18" customHeight="1" x14ac:dyDescent="0.2">
      <c r="A28" s="337" t="s">
        <v>251</v>
      </c>
      <c r="B28" s="338">
        <v>86707.199999999997</v>
      </c>
      <c r="C28" s="338">
        <f t="shared" si="3"/>
        <v>6633.1007999999993</v>
      </c>
      <c r="D28" s="338">
        <v>120</v>
      </c>
      <c r="E28" s="338">
        <f t="shared" ref="E28:E34" si="11">B28/100*0.44*1.36*0.85</f>
        <v>441.02750207999998</v>
      </c>
      <c r="F28" s="338">
        <v>1455.671</v>
      </c>
      <c r="G28" s="338">
        <v>8960.0400000000009</v>
      </c>
      <c r="H28" s="338">
        <f t="shared" ref="H28:H31" si="12">B28*0.095</f>
        <v>8237.1839999999993</v>
      </c>
      <c r="I28" s="141">
        <f t="shared" ref="I28:I33" si="13">SUM(B28:H28)</f>
        <v>112554.22330207999</v>
      </c>
      <c r="J28" s="1012"/>
    </row>
    <row r="29" spans="1:13" ht="18" customHeight="1" x14ac:dyDescent="0.2">
      <c r="A29" s="340" t="s">
        <v>334</v>
      </c>
      <c r="B29" s="339">
        <v>69769.600000000006</v>
      </c>
      <c r="C29" s="339">
        <f t="shared" ref="C29" si="14">B29*0.0765</f>
        <v>5337.3744000000006</v>
      </c>
      <c r="D29" s="339">
        <v>120</v>
      </c>
      <c r="E29" s="339">
        <f t="shared" si="11"/>
        <v>354.87609344000003</v>
      </c>
      <c r="F29" s="339">
        <v>1455.671</v>
      </c>
      <c r="G29" s="339">
        <v>8960.0400000000009</v>
      </c>
      <c r="H29" s="339">
        <f t="shared" si="12"/>
        <v>6628.112000000001</v>
      </c>
      <c r="I29" s="139">
        <f t="shared" ref="I29" si="15">SUM(B29:H29)</f>
        <v>92625.673493440001</v>
      </c>
      <c r="J29" s="1012"/>
      <c r="M29" s="333"/>
    </row>
    <row r="30" spans="1:13" ht="18" customHeight="1" x14ac:dyDescent="0.2">
      <c r="A30" s="340" t="s">
        <v>252</v>
      </c>
      <c r="B30" s="339">
        <v>49276</v>
      </c>
      <c r="C30" s="339">
        <f t="shared" si="3"/>
        <v>3769.614</v>
      </c>
      <c r="D30" s="339">
        <v>120</v>
      </c>
      <c r="E30" s="339">
        <f t="shared" si="11"/>
        <v>250.63744640000002</v>
      </c>
      <c r="F30" s="339">
        <v>1118.961</v>
      </c>
      <c r="G30" s="339">
        <v>4777.76</v>
      </c>
      <c r="H30" s="339">
        <f t="shared" si="12"/>
        <v>4681.22</v>
      </c>
      <c r="I30" s="139">
        <f t="shared" si="13"/>
        <v>63994.192446400004</v>
      </c>
      <c r="J30" s="1012"/>
    </row>
    <row r="31" spans="1:13" ht="18" customHeight="1" x14ac:dyDescent="0.2">
      <c r="A31" s="341" t="s">
        <v>242</v>
      </c>
      <c r="B31" s="342">
        <v>37107</v>
      </c>
      <c r="C31" s="342">
        <f t="shared" si="3"/>
        <v>2838.6855</v>
      </c>
      <c r="D31" s="342">
        <v>119.9</v>
      </c>
      <c r="E31" s="342">
        <f t="shared" si="11"/>
        <v>188.7410448</v>
      </c>
      <c r="F31" s="342">
        <v>1455.671</v>
      </c>
      <c r="G31" s="342">
        <v>4777.76</v>
      </c>
      <c r="H31" s="342">
        <f t="shared" si="12"/>
        <v>3525.165</v>
      </c>
      <c r="I31" s="140">
        <f t="shared" si="13"/>
        <v>50012.922544800007</v>
      </c>
      <c r="J31" s="1012"/>
    </row>
    <row r="32" spans="1:13" ht="18" customHeight="1" x14ac:dyDescent="0.2">
      <c r="A32" s="337" t="s">
        <v>398</v>
      </c>
      <c r="B32" s="338">
        <v>7721</v>
      </c>
      <c r="C32" s="338">
        <f t="shared" ref="C32" si="16">B32*0.0765</f>
        <v>590.65649999999994</v>
      </c>
      <c r="D32" s="338">
        <v>60</v>
      </c>
      <c r="E32" s="338">
        <f t="shared" si="11"/>
        <v>39.272094400000007</v>
      </c>
      <c r="F32" s="338">
        <v>650.21119999999996</v>
      </c>
      <c r="G32" s="344"/>
      <c r="H32" s="344"/>
      <c r="I32" s="141">
        <f t="shared" ref="I32" si="17">SUM(B32:H32)</f>
        <v>9061.1397943999982</v>
      </c>
      <c r="J32" s="1012"/>
    </row>
    <row r="33" spans="1:12" ht="18" customHeight="1" x14ac:dyDescent="0.2">
      <c r="A33" s="340" t="s">
        <v>397</v>
      </c>
      <c r="B33" s="339">
        <v>3469</v>
      </c>
      <c r="C33" s="339">
        <f t="shared" si="3"/>
        <v>265.37849999999997</v>
      </c>
      <c r="D33" s="339">
        <v>50</v>
      </c>
      <c r="E33" s="339">
        <f t="shared" si="11"/>
        <v>17.6447216</v>
      </c>
      <c r="F33" s="339">
        <v>650.21119999999996</v>
      </c>
      <c r="G33" s="346"/>
      <c r="H33" s="346"/>
      <c r="I33" s="139">
        <f t="shared" si="13"/>
        <v>4452.2344216000001</v>
      </c>
      <c r="J33" s="1012"/>
    </row>
    <row r="34" spans="1:12" ht="18" customHeight="1" x14ac:dyDescent="0.2">
      <c r="A34" s="340" t="s">
        <v>396</v>
      </c>
      <c r="B34" s="339">
        <v>17372</v>
      </c>
      <c r="C34" s="339">
        <f>B34*0.0765</f>
        <v>1328.9580000000001</v>
      </c>
      <c r="D34" s="339">
        <v>70</v>
      </c>
      <c r="E34" s="339">
        <f t="shared" si="11"/>
        <v>88.360940800000009</v>
      </c>
      <c r="F34" s="339">
        <v>650.21119999999996</v>
      </c>
      <c r="G34" s="346"/>
      <c r="H34" s="346"/>
      <c r="I34" s="139">
        <f>SUM(B34:H34)</f>
        <v>19509.530140800001</v>
      </c>
      <c r="J34" s="1012"/>
    </row>
    <row r="35" spans="1:12" ht="15.75" customHeight="1" x14ac:dyDescent="0.25">
      <c r="A35" s="376" t="s">
        <v>403</v>
      </c>
      <c r="B35" s="338">
        <v>-3856.11</v>
      </c>
      <c r="C35" s="338">
        <f t="shared" si="3"/>
        <v>-294.99241499999999</v>
      </c>
      <c r="D35" s="338"/>
      <c r="E35" s="338">
        <v>-148.66</v>
      </c>
      <c r="F35" s="338"/>
      <c r="G35" s="362">
        <v>1233.76</v>
      </c>
      <c r="H35" s="338">
        <v>-366.36</v>
      </c>
      <c r="I35" s="141">
        <f>SUM(B35:H35)</f>
        <v>-3432.3624150000001</v>
      </c>
      <c r="J35" s="1012"/>
      <c r="L35" s="333"/>
    </row>
    <row r="36" spans="1:12" ht="16.5" customHeight="1" x14ac:dyDescent="0.2">
      <c r="A36" s="375" t="s">
        <v>399</v>
      </c>
      <c r="B36" s="363"/>
      <c r="C36" s="363"/>
      <c r="D36" s="363"/>
      <c r="E36" s="363">
        <v>-8383</v>
      </c>
      <c r="F36" s="363"/>
      <c r="G36" s="364">
        <v>-14771.84</v>
      </c>
      <c r="H36" s="364"/>
      <c r="I36" s="140">
        <f>SUM(B36:H36)</f>
        <v>-23154.84</v>
      </c>
      <c r="J36" s="1012"/>
    </row>
    <row r="37" spans="1:12" ht="18" customHeight="1" thickBot="1" x14ac:dyDescent="0.25">
      <c r="A37" s="347"/>
      <c r="B37" s="374">
        <f>SUM(B2:B36)</f>
        <v>1673766.0899999999</v>
      </c>
      <c r="C37" s="373">
        <f t="shared" ref="C37:H37" si="18">SUM(C2:C36)</f>
        <v>128043.105885</v>
      </c>
      <c r="D37" s="373">
        <f t="shared" si="18"/>
        <v>4510</v>
      </c>
      <c r="E37" s="374">
        <f t="shared" si="18"/>
        <v>47945.713001439981</v>
      </c>
      <c r="F37" s="373">
        <f t="shared" si="18"/>
        <v>49251.170799999978</v>
      </c>
      <c r="G37" s="373">
        <f t="shared" si="18"/>
        <v>188738.84000000005</v>
      </c>
      <c r="H37" s="374">
        <f t="shared" si="18"/>
        <v>154762.57900000003</v>
      </c>
      <c r="I37" s="373">
        <f>SUM(I2:I36)</f>
        <v>2247017.4986864403</v>
      </c>
      <c r="J37" s="1012"/>
    </row>
    <row r="38" spans="1:12" ht="14.25" customHeight="1" thickTop="1" x14ac:dyDescent="0.2">
      <c r="A38" s="258" t="s">
        <v>408</v>
      </c>
      <c r="B38" s="258"/>
      <c r="C38" s="1009">
        <f>SUM(C37:H37)</f>
        <v>573251.40868644009</v>
      </c>
      <c r="D38" s="1010"/>
      <c r="E38" s="1010"/>
      <c r="F38" s="1010"/>
      <c r="G38" s="1010"/>
      <c r="H38" s="1011"/>
      <c r="I38" s="258"/>
      <c r="J38" s="1012"/>
    </row>
    <row r="39" spans="1:12" ht="13.5" customHeight="1" x14ac:dyDescent="0.2">
      <c r="A39" s="22" t="s">
        <v>394</v>
      </c>
      <c r="B39" s="92"/>
      <c r="C39" s="92"/>
      <c r="D39" s="92"/>
      <c r="E39" s="92"/>
      <c r="F39" s="92"/>
      <c r="G39" s="92"/>
      <c r="H39" s="92"/>
    </row>
  </sheetData>
  <mergeCells count="2">
    <mergeCell ref="C38:H38"/>
    <mergeCell ref="J1:J38"/>
  </mergeCells>
  <phoneticPr fontId="19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9"/>
  <sheetViews>
    <sheetView workbookViewId="0">
      <selection sqref="A1:D2"/>
    </sheetView>
  </sheetViews>
  <sheetFormatPr defaultRowHeight="12.75" x14ac:dyDescent="0.2"/>
  <cols>
    <col min="1" max="1" width="6.28515625" customWidth="1"/>
    <col min="2" max="3" width="11.28515625" customWidth="1"/>
    <col min="4" max="4" width="11.28515625" style="331" customWidth="1"/>
    <col min="5" max="7" width="14" customWidth="1"/>
    <col min="8" max="8" width="11.42578125" customWidth="1"/>
    <col min="9" max="9" width="10.28515625" bestFit="1" customWidth="1"/>
  </cols>
  <sheetData>
    <row r="1" spans="1:7" ht="20.100000000000001" customHeight="1" x14ac:dyDescent="0.3">
      <c r="A1" s="1016" t="s">
        <v>662</v>
      </c>
      <c r="B1" s="1016"/>
      <c r="C1" s="1016"/>
      <c r="D1" s="1016"/>
      <c r="E1" s="656"/>
      <c r="F1" s="656"/>
      <c r="G1" s="656"/>
    </row>
    <row r="2" spans="1:7" ht="20.100000000000001" customHeight="1" thickBot="1" x14ac:dyDescent="0.25">
      <c r="A2" s="1017"/>
      <c r="B2" s="1017"/>
      <c r="C2" s="1017"/>
      <c r="D2" s="1017"/>
      <c r="E2" s="24"/>
      <c r="F2" s="24"/>
      <c r="G2" s="24"/>
    </row>
    <row r="3" spans="1:7" ht="20.100000000000001" customHeight="1" x14ac:dyDescent="0.2">
      <c r="A3" s="1015" t="s">
        <v>170</v>
      </c>
      <c r="B3" s="585" t="s">
        <v>596</v>
      </c>
      <c r="C3" s="661" t="s">
        <v>643</v>
      </c>
      <c r="D3" s="585" t="s">
        <v>691</v>
      </c>
      <c r="E3" s="18"/>
    </row>
    <row r="4" spans="1:7" ht="20.100000000000001" customHeight="1" x14ac:dyDescent="0.25">
      <c r="A4" s="1014"/>
      <c r="B4" s="587">
        <v>14.75</v>
      </c>
      <c r="C4" s="587">
        <v>16.28</v>
      </c>
      <c r="D4" s="587">
        <f>'642 PAYROLL'!M18</f>
        <v>16.638160000000003</v>
      </c>
      <c r="E4" s="13"/>
      <c r="F4" s="20"/>
      <c r="G4" s="19"/>
    </row>
    <row r="5" spans="1:7" ht="20.100000000000001" customHeight="1" x14ac:dyDescent="0.2">
      <c r="A5" s="659"/>
      <c r="B5" s="590"/>
      <c r="C5" s="590"/>
      <c r="D5" s="589"/>
      <c r="E5" s="16"/>
      <c r="F5" s="16"/>
      <c r="G5" s="16"/>
    </row>
    <row r="6" spans="1:7" ht="20.100000000000001" customHeight="1" x14ac:dyDescent="0.2">
      <c r="A6" s="1015" t="s">
        <v>170</v>
      </c>
      <c r="B6" s="586" t="s">
        <v>597</v>
      </c>
      <c r="C6" s="660" t="s">
        <v>644</v>
      </c>
      <c r="D6" s="586" t="s">
        <v>692</v>
      </c>
      <c r="G6" s="16"/>
    </row>
    <row r="7" spans="1:7" ht="20.100000000000001" customHeight="1" x14ac:dyDescent="0.2">
      <c r="A7" s="1014"/>
      <c r="B7" s="587">
        <v>17.41</v>
      </c>
      <c r="C7" s="587">
        <v>18.5</v>
      </c>
      <c r="D7" s="587">
        <f>'642 PAYROLL'!M13</f>
        <v>18.907</v>
      </c>
      <c r="G7" s="16"/>
    </row>
    <row r="8" spans="1:7" ht="20.100000000000001" customHeight="1" x14ac:dyDescent="0.2">
      <c r="A8" s="659"/>
      <c r="B8" s="590"/>
      <c r="C8" s="590"/>
      <c r="D8" s="589"/>
      <c r="G8" s="16"/>
    </row>
    <row r="9" spans="1:7" ht="20.100000000000001" customHeight="1" x14ac:dyDescent="0.2">
      <c r="A9" s="1015" t="s">
        <v>170</v>
      </c>
      <c r="B9" s="586" t="s">
        <v>598</v>
      </c>
      <c r="C9" s="660" t="s">
        <v>645</v>
      </c>
      <c r="D9" s="586" t="s">
        <v>693</v>
      </c>
      <c r="G9" s="16"/>
    </row>
    <row r="10" spans="1:7" ht="20.100000000000001" customHeight="1" x14ac:dyDescent="0.2">
      <c r="A10" s="1014"/>
      <c r="B10" s="587">
        <v>19.72</v>
      </c>
      <c r="C10" s="587">
        <v>20.88</v>
      </c>
      <c r="D10" s="587">
        <f>'642 PAYROLL'!M9</f>
        <v>21.339359999999999</v>
      </c>
      <c r="G10" s="16"/>
    </row>
    <row r="11" spans="1:7" ht="20.100000000000001" customHeight="1" x14ac:dyDescent="0.2">
      <c r="A11" s="659"/>
      <c r="B11" s="590"/>
      <c r="C11" s="590"/>
      <c r="D11" s="589"/>
    </row>
    <row r="12" spans="1:7" ht="20.100000000000001" customHeight="1" x14ac:dyDescent="0.2">
      <c r="A12" s="1015" t="s">
        <v>170</v>
      </c>
      <c r="B12" s="586" t="s">
        <v>599</v>
      </c>
      <c r="C12" s="660" t="s">
        <v>646</v>
      </c>
      <c r="D12" s="586" t="s">
        <v>694</v>
      </c>
    </row>
    <row r="13" spans="1:7" ht="20.100000000000001" customHeight="1" x14ac:dyDescent="0.2">
      <c r="A13" s="1014"/>
      <c r="B13" s="587">
        <v>20.81</v>
      </c>
      <c r="C13" s="587">
        <v>21.67</v>
      </c>
      <c r="D13" s="587">
        <f>'642 PAYROLL'!M6</f>
        <v>22.146740000000001</v>
      </c>
    </row>
    <row r="14" spans="1:7" ht="20.100000000000001" customHeight="1" x14ac:dyDescent="0.2">
      <c r="A14" s="957"/>
      <c r="B14" s="590"/>
      <c r="C14" s="590"/>
      <c r="D14" s="589"/>
    </row>
    <row r="15" spans="1:7" ht="20.100000000000001" customHeight="1" x14ac:dyDescent="0.2">
      <c r="A15" s="1013" t="s">
        <v>170</v>
      </c>
      <c r="B15" s="955" t="s">
        <v>750</v>
      </c>
      <c r="C15" s="956" t="s">
        <v>751</v>
      </c>
      <c r="D15" s="955" t="s">
        <v>752</v>
      </c>
      <c r="E15" s="16"/>
    </row>
    <row r="16" spans="1:7" ht="20.100000000000001" customHeight="1" x14ac:dyDescent="0.2">
      <c r="A16" s="1014"/>
      <c r="B16" s="587" t="s">
        <v>753</v>
      </c>
      <c r="C16" s="587" t="s">
        <v>753</v>
      </c>
      <c r="D16" s="587">
        <f>'642 PAYROLL'!M3</f>
        <v>28.08</v>
      </c>
    </row>
    <row r="17" spans="1:4" ht="20.100000000000001" customHeight="1" thickBot="1" x14ac:dyDescent="0.25">
      <c r="A17" s="658"/>
      <c r="B17" s="657"/>
      <c r="C17" s="591"/>
      <c r="D17" s="588"/>
    </row>
    <row r="18" spans="1:4" ht="20.100000000000001" customHeight="1" x14ac:dyDescent="0.2"/>
    <row r="19" spans="1:4" ht="20.100000000000001" customHeight="1" x14ac:dyDescent="0.2"/>
    <row r="20" spans="1:4" ht="20.100000000000001" customHeight="1" x14ac:dyDescent="0.2"/>
    <row r="21" spans="1:4" ht="20.100000000000001" customHeight="1" x14ac:dyDescent="0.2"/>
    <row r="22" spans="1:4" ht="20.100000000000001" customHeight="1" x14ac:dyDescent="0.2"/>
    <row r="23" spans="1:4" ht="20.100000000000001" customHeight="1" x14ac:dyDescent="0.2"/>
    <row r="24" spans="1:4" ht="20.100000000000001" customHeight="1" x14ac:dyDescent="0.2"/>
    <row r="25" spans="1:4" ht="20.100000000000001" customHeight="1" x14ac:dyDescent="0.2"/>
    <row r="26" spans="1:4" ht="20.100000000000001" customHeight="1" x14ac:dyDescent="0.2"/>
    <row r="27" spans="1:4" ht="20.100000000000001" customHeight="1" x14ac:dyDescent="0.2"/>
    <row r="28" spans="1:4" ht="20.100000000000001" customHeight="1" x14ac:dyDescent="0.2"/>
    <row r="29" spans="1:4" ht="20.100000000000001" customHeight="1" x14ac:dyDescent="0.2"/>
  </sheetData>
  <mergeCells count="6">
    <mergeCell ref="A15:A16"/>
    <mergeCell ref="A6:A7"/>
    <mergeCell ref="A9:A10"/>
    <mergeCell ref="A12:A13"/>
    <mergeCell ref="A1:D2"/>
    <mergeCell ref="A3:A4"/>
  </mergeCells>
  <phoneticPr fontId="19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D24"/>
  <sheetViews>
    <sheetView workbookViewId="0">
      <selection sqref="A1:M1"/>
    </sheetView>
  </sheetViews>
  <sheetFormatPr defaultRowHeight="12.75" x14ac:dyDescent="0.2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30" customHeight="1" x14ac:dyDescent="0.2">
      <c r="A1" s="1018" t="s">
        <v>695</v>
      </c>
      <c r="B1" s="1018"/>
      <c r="C1" s="1018"/>
      <c r="D1" s="1018"/>
      <c r="E1" s="1018"/>
      <c r="F1" s="1018"/>
      <c r="G1" s="1018"/>
      <c r="H1" s="1018"/>
      <c r="I1" s="1018"/>
      <c r="J1" s="1018"/>
      <c r="K1" s="1018"/>
      <c r="L1" s="1018"/>
      <c r="M1" s="1018"/>
      <c r="N1" s="142"/>
      <c r="O1" s="142"/>
      <c r="P1" s="142"/>
    </row>
    <row r="2" spans="1:56" ht="9.75" customHeight="1" x14ac:dyDescent="0.2">
      <c r="A2" s="143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56" ht="23.25" customHeight="1" x14ac:dyDescent="0.25">
      <c r="A3" s="1019" t="s">
        <v>48</v>
      </c>
      <c r="B3" s="1020"/>
      <c r="C3" s="1020"/>
      <c r="D3" s="604" t="s">
        <v>250</v>
      </c>
      <c r="E3" s="605">
        <f>'642 PAYROLL'!M18</f>
        <v>16.638160000000003</v>
      </c>
      <c r="F3" s="604" t="s">
        <v>634</v>
      </c>
      <c r="G3" s="605">
        <f>'642 PAYROLL'!M13</f>
        <v>18.907</v>
      </c>
      <c r="H3" s="604" t="s">
        <v>248</v>
      </c>
      <c r="I3" s="605">
        <f>'642 PAYROLL'!M9</f>
        <v>21.339359999999999</v>
      </c>
      <c r="J3" s="604" t="s">
        <v>247</v>
      </c>
      <c r="K3" s="605">
        <f>'642 PAYROLL'!M6</f>
        <v>22.146740000000001</v>
      </c>
      <c r="L3" s="604" t="s">
        <v>749</v>
      </c>
      <c r="M3" s="605">
        <f>'642 PAYROLL'!M3</f>
        <v>28.08</v>
      </c>
      <c r="O3" s="142"/>
      <c r="P3" s="142"/>
    </row>
    <row r="4" spans="1:56" ht="9.75" customHeight="1" x14ac:dyDescent="0.2">
      <c r="A4" s="143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56" ht="13.5" thickBot="1" x14ac:dyDescent="0.25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56" ht="19.5" customHeight="1" x14ac:dyDescent="0.2">
      <c r="A6" s="146" t="s">
        <v>49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8"/>
      <c r="M6" s="14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ht="19.5" customHeight="1" x14ac:dyDescent="0.2">
      <c r="A7" s="150"/>
      <c r="B7" s="151"/>
      <c r="C7" s="152" t="s">
        <v>342</v>
      </c>
      <c r="D7" s="153">
        <v>1</v>
      </c>
      <c r="E7" s="153">
        <v>2</v>
      </c>
      <c r="F7" s="153">
        <v>3</v>
      </c>
      <c r="G7" s="153">
        <v>4</v>
      </c>
      <c r="H7" s="153">
        <v>5</v>
      </c>
      <c r="I7" s="153">
        <v>6</v>
      </c>
      <c r="J7" s="153">
        <v>7</v>
      </c>
      <c r="K7" s="153">
        <v>8</v>
      </c>
      <c r="L7" s="654">
        <v>9</v>
      </c>
      <c r="M7" s="154">
        <v>10</v>
      </c>
    </row>
    <row r="8" spans="1:56" ht="19.5" customHeight="1" x14ac:dyDescent="0.2">
      <c r="A8" s="150"/>
      <c r="B8" s="155" t="s">
        <v>50</v>
      </c>
      <c r="C8" s="156"/>
      <c r="D8" s="157"/>
      <c r="E8" s="158"/>
      <c r="F8" s="158"/>
      <c r="G8" s="158"/>
      <c r="H8" s="158"/>
      <c r="I8" s="158"/>
      <c r="J8" s="158"/>
      <c r="K8" s="158"/>
      <c r="L8" s="158"/>
      <c r="M8" s="159"/>
    </row>
    <row r="9" spans="1:56" ht="19.5" customHeight="1" x14ac:dyDescent="0.2">
      <c r="A9" s="150"/>
      <c r="B9" s="151"/>
      <c r="C9" s="160" t="s">
        <v>51</v>
      </c>
      <c r="D9" s="161">
        <v>0.25</v>
      </c>
      <c r="E9" s="161">
        <v>0.2</v>
      </c>
      <c r="F9" s="161">
        <v>0.15</v>
      </c>
      <c r="G9" s="161">
        <v>0.1</v>
      </c>
      <c r="H9" s="161">
        <v>0.2</v>
      </c>
      <c r="I9" s="161">
        <v>0.1</v>
      </c>
      <c r="J9" s="161">
        <v>0.2</v>
      </c>
      <c r="K9" s="161">
        <v>0.1</v>
      </c>
      <c r="L9" s="655">
        <v>0.2</v>
      </c>
      <c r="M9" s="162">
        <v>0.1</v>
      </c>
    </row>
    <row r="10" spans="1:56" ht="19.5" customHeight="1" x14ac:dyDescent="0.2">
      <c r="A10" s="150"/>
      <c r="B10" s="151"/>
      <c r="C10" s="160" t="s">
        <v>52</v>
      </c>
      <c r="D10" s="161">
        <v>0.25</v>
      </c>
      <c r="E10" s="161">
        <f t="shared" ref="E10:M10" si="0">+D10+E9</f>
        <v>0.45</v>
      </c>
      <c r="F10" s="161">
        <f t="shared" si="0"/>
        <v>0.6</v>
      </c>
      <c r="G10" s="161">
        <f t="shared" si="0"/>
        <v>0.7</v>
      </c>
      <c r="H10" s="161">
        <f t="shared" si="0"/>
        <v>0.89999999999999991</v>
      </c>
      <c r="I10" s="161">
        <f t="shared" si="0"/>
        <v>0.99999999999999989</v>
      </c>
      <c r="J10" s="161">
        <f t="shared" si="0"/>
        <v>1.2</v>
      </c>
      <c r="K10" s="161">
        <f t="shared" si="0"/>
        <v>1.3</v>
      </c>
      <c r="L10" s="161">
        <f t="shared" si="0"/>
        <v>1.5</v>
      </c>
      <c r="M10" s="162">
        <f t="shared" si="0"/>
        <v>1.6</v>
      </c>
    </row>
    <row r="12" spans="1:56" ht="13.5" thickBot="1" x14ac:dyDescent="0.25"/>
    <row r="13" spans="1:56" ht="19.5" customHeight="1" x14ac:dyDescent="0.2">
      <c r="A13" s="146" t="s">
        <v>49</v>
      </c>
      <c r="B13" s="147"/>
      <c r="C13" s="147"/>
      <c r="D13" s="148"/>
      <c r="E13" s="148"/>
      <c r="F13" s="148"/>
      <c r="G13" s="148"/>
      <c r="H13" s="148"/>
      <c r="I13" s="148"/>
      <c r="J13" s="148"/>
      <c r="K13" s="148"/>
      <c r="L13" s="148"/>
      <c r="M13" s="149"/>
    </row>
    <row r="14" spans="1:56" ht="19.5" customHeight="1" x14ac:dyDescent="0.2">
      <c r="A14" s="150"/>
      <c r="B14" s="151"/>
      <c r="C14" s="152" t="s">
        <v>342</v>
      </c>
      <c r="D14" s="153">
        <v>11</v>
      </c>
      <c r="E14" s="153">
        <v>12</v>
      </c>
      <c r="F14" s="153">
        <v>13</v>
      </c>
      <c r="G14" s="153">
        <v>14</v>
      </c>
      <c r="H14" s="153">
        <v>15</v>
      </c>
      <c r="I14" s="153">
        <v>16</v>
      </c>
      <c r="J14" s="153">
        <v>17</v>
      </c>
      <c r="K14" s="153">
        <v>18</v>
      </c>
      <c r="L14" s="654">
        <v>19</v>
      </c>
      <c r="M14" s="154">
        <v>20</v>
      </c>
    </row>
    <row r="15" spans="1:56" ht="19.5" customHeight="1" x14ac:dyDescent="0.2">
      <c r="A15" s="150"/>
      <c r="B15" s="155" t="s">
        <v>50</v>
      </c>
      <c r="C15" s="155"/>
      <c r="D15" s="158"/>
      <c r="E15" s="163"/>
      <c r="F15" s="158"/>
      <c r="G15" s="158"/>
      <c r="H15" s="158"/>
      <c r="I15" s="158"/>
      <c r="J15" s="158"/>
      <c r="K15" s="158"/>
      <c r="L15" s="158"/>
      <c r="M15" s="159"/>
    </row>
    <row r="16" spans="1:56" ht="19.5" customHeight="1" x14ac:dyDescent="0.2">
      <c r="A16" s="150"/>
      <c r="B16" s="151"/>
      <c r="C16" s="160" t="s">
        <v>51</v>
      </c>
      <c r="D16" s="161">
        <v>0.2</v>
      </c>
      <c r="E16" s="161">
        <v>0.1</v>
      </c>
      <c r="F16" s="161">
        <v>0.2</v>
      </c>
      <c r="G16" s="161">
        <v>0.1</v>
      </c>
      <c r="H16" s="161">
        <v>0.2</v>
      </c>
      <c r="I16" s="161">
        <v>0.1</v>
      </c>
      <c r="J16" s="161">
        <v>0.2</v>
      </c>
      <c r="K16" s="161">
        <v>0.1</v>
      </c>
      <c r="L16" s="655">
        <v>0.2</v>
      </c>
      <c r="M16" s="162">
        <v>0.1</v>
      </c>
    </row>
    <row r="17" spans="1:13" ht="19.5" customHeight="1" x14ac:dyDescent="0.2">
      <c r="A17" s="150"/>
      <c r="B17" s="151"/>
      <c r="C17" s="160" t="s">
        <v>52</v>
      </c>
      <c r="D17" s="161">
        <f>+M10+D16</f>
        <v>1.8</v>
      </c>
      <c r="E17" s="164">
        <f t="shared" ref="E17:M17" si="1">+D17+E16</f>
        <v>1.9000000000000001</v>
      </c>
      <c r="F17" s="164">
        <f t="shared" si="1"/>
        <v>2.1</v>
      </c>
      <c r="G17" s="164">
        <f t="shared" si="1"/>
        <v>2.2000000000000002</v>
      </c>
      <c r="H17" s="164">
        <f t="shared" si="1"/>
        <v>2.4000000000000004</v>
      </c>
      <c r="I17" s="164">
        <f t="shared" si="1"/>
        <v>2.5000000000000004</v>
      </c>
      <c r="J17" s="164">
        <f t="shared" si="1"/>
        <v>2.7000000000000006</v>
      </c>
      <c r="K17" s="164">
        <f t="shared" si="1"/>
        <v>2.8000000000000007</v>
      </c>
      <c r="L17" s="164">
        <f t="shared" si="1"/>
        <v>3.0000000000000009</v>
      </c>
      <c r="M17" s="162">
        <f t="shared" si="1"/>
        <v>3.100000000000001</v>
      </c>
    </row>
    <row r="19" spans="1:13" ht="13.5" thickBot="1" x14ac:dyDescent="0.25"/>
    <row r="20" spans="1:13" ht="19.5" customHeight="1" x14ac:dyDescent="0.2">
      <c r="A20" s="146" t="s">
        <v>49</v>
      </c>
      <c r="B20" s="147"/>
      <c r="C20" s="147"/>
      <c r="D20" s="148"/>
      <c r="E20" s="148"/>
      <c r="F20" s="148"/>
      <c r="G20" s="148"/>
      <c r="H20" s="148"/>
      <c r="I20" s="148"/>
      <c r="J20" s="148"/>
      <c r="K20" s="148"/>
      <c r="L20" s="148"/>
      <c r="M20" s="149"/>
    </row>
    <row r="21" spans="1:13" ht="19.5" customHeight="1" x14ac:dyDescent="0.2">
      <c r="A21" s="150"/>
      <c r="B21" s="151"/>
      <c r="C21" s="152" t="s">
        <v>342</v>
      </c>
      <c r="D21" s="153">
        <v>21</v>
      </c>
      <c r="E21" s="153">
        <v>22</v>
      </c>
      <c r="F21" s="153">
        <v>23</v>
      </c>
      <c r="G21" s="153">
        <v>24</v>
      </c>
      <c r="H21" s="153">
        <v>25</v>
      </c>
      <c r="I21" s="153">
        <v>26</v>
      </c>
      <c r="J21" s="153">
        <v>27</v>
      </c>
      <c r="K21" s="153">
        <v>28</v>
      </c>
      <c r="L21" s="654">
        <v>29</v>
      </c>
      <c r="M21" s="154">
        <v>30</v>
      </c>
    </row>
    <row r="22" spans="1:13" ht="19.5" customHeight="1" x14ac:dyDescent="0.2">
      <c r="A22" s="150"/>
      <c r="B22" s="155" t="s">
        <v>50</v>
      </c>
      <c r="C22" s="155"/>
      <c r="D22" s="158"/>
      <c r="E22" s="163"/>
      <c r="F22" s="158"/>
      <c r="G22" s="158"/>
      <c r="H22" s="158"/>
      <c r="I22" s="158"/>
      <c r="J22" s="158"/>
      <c r="K22" s="158"/>
      <c r="L22" s="158"/>
      <c r="M22" s="159"/>
    </row>
    <row r="23" spans="1:13" ht="19.5" customHeight="1" x14ac:dyDescent="0.2">
      <c r="A23" s="150"/>
      <c r="B23" s="151"/>
      <c r="C23" s="160" t="s">
        <v>51</v>
      </c>
      <c r="D23" s="161">
        <v>0.2</v>
      </c>
      <c r="E23" s="161">
        <v>0.1</v>
      </c>
      <c r="F23" s="161">
        <v>0.2</v>
      </c>
      <c r="G23" s="161">
        <v>0.1</v>
      </c>
      <c r="H23" s="161">
        <v>0.2</v>
      </c>
      <c r="I23" s="161">
        <v>0.1</v>
      </c>
      <c r="J23" s="161">
        <v>0.2</v>
      </c>
      <c r="K23" s="161">
        <v>0.1</v>
      </c>
      <c r="L23" s="655">
        <v>0.2</v>
      </c>
      <c r="M23" s="162">
        <v>0.1</v>
      </c>
    </row>
    <row r="24" spans="1:13" ht="19.5" customHeight="1" x14ac:dyDescent="0.2">
      <c r="A24" s="150"/>
      <c r="B24" s="151"/>
      <c r="C24" s="160" t="s">
        <v>52</v>
      </c>
      <c r="D24" s="161">
        <f>+M17+D23</f>
        <v>3.3000000000000012</v>
      </c>
      <c r="E24" s="161">
        <f t="shared" ref="E24:M24" si="2">+D24+E23</f>
        <v>3.4000000000000012</v>
      </c>
      <c r="F24" s="161">
        <f t="shared" si="2"/>
        <v>3.6000000000000014</v>
      </c>
      <c r="G24" s="161">
        <f t="shared" si="2"/>
        <v>3.7000000000000015</v>
      </c>
      <c r="H24" s="161">
        <f t="shared" si="2"/>
        <v>3.9000000000000017</v>
      </c>
      <c r="I24" s="161">
        <f t="shared" si="2"/>
        <v>4.0000000000000018</v>
      </c>
      <c r="J24" s="161">
        <f t="shared" si="2"/>
        <v>4.200000000000002</v>
      </c>
      <c r="K24" s="161">
        <f t="shared" si="2"/>
        <v>4.3000000000000016</v>
      </c>
      <c r="L24" s="161">
        <f t="shared" si="2"/>
        <v>4.5000000000000018</v>
      </c>
      <c r="M24" s="162">
        <f t="shared" si="2"/>
        <v>4.6000000000000014</v>
      </c>
    </row>
  </sheetData>
  <mergeCells count="2">
    <mergeCell ref="A1:M1"/>
    <mergeCell ref="A3:C3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23"/>
  <sheetViews>
    <sheetView zoomScaleNormal="100" workbookViewId="0"/>
  </sheetViews>
  <sheetFormatPr defaultColWidth="10.42578125" defaultRowHeight="12.75" x14ac:dyDescent="0.2"/>
  <cols>
    <col min="1" max="1" width="28.140625" style="166" bestFit="1" customWidth="1"/>
    <col min="2" max="2" width="21.140625" style="166" bestFit="1" customWidth="1"/>
    <col min="3" max="3" width="23.28515625" style="166" bestFit="1" customWidth="1"/>
    <col min="4" max="16" width="9.42578125" style="166" customWidth="1"/>
    <col min="17" max="16384" width="10.42578125" style="166"/>
  </cols>
  <sheetData>
    <row r="1" spans="1:18" x14ac:dyDescent="0.2">
      <c r="C1" s="167"/>
      <c r="D1" s="167"/>
      <c r="E1" s="167"/>
      <c r="F1" s="167"/>
      <c r="G1" s="167"/>
      <c r="H1" s="167"/>
      <c r="I1" s="167"/>
      <c r="J1" s="168"/>
      <c r="K1" s="167"/>
      <c r="L1" s="167"/>
      <c r="M1" s="167"/>
      <c r="N1" s="167"/>
      <c r="O1" s="169"/>
      <c r="P1" s="170"/>
      <c r="Q1" s="167"/>
      <c r="R1" s="167"/>
    </row>
    <row r="2" spans="1:18" s="174" customFormat="1" ht="24.95" customHeight="1" x14ac:dyDescent="0.25">
      <c r="A2" s="652" t="s">
        <v>31</v>
      </c>
      <c r="B2" s="652" t="s">
        <v>683</v>
      </c>
      <c r="C2" s="652" t="s">
        <v>684</v>
      </c>
      <c r="D2"/>
      <c r="E2"/>
      <c r="F2"/>
      <c r="G2" s="171"/>
      <c r="H2" s="171"/>
      <c r="I2" s="171"/>
      <c r="J2" s="171"/>
      <c r="K2" s="171"/>
      <c r="L2" s="171"/>
      <c r="M2" s="171"/>
      <c r="N2" s="171"/>
      <c r="O2" s="172"/>
      <c r="P2" s="173"/>
      <c r="Q2" s="172"/>
      <c r="R2" s="171"/>
    </row>
    <row r="3" spans="1:18" ht="24.75" customHeight="1" x14ac:dyDescent="0.2">
      <c r="A3" s="653" t="s">
        <v>32</v>
      </c>
      <c r="B3" s="668">
        <f>(30*12)/2756</f>
        <v>0.13062409288824384</v>
      </c>
      <c r="C3" s="668">
        <f>(30*12)/2080</f>
        <v>0.17307692307692307</v>
      </c>
      <c r="D3"/>
      <c r="E3"/>
      <c r="F3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6"/>
      <c r="R3" s="167"/>
    </row>
    <row r="4" spans="1:18" ht="24.95" hidden="1" customHeight="1" x14ac:dyDescent="0.2">
      <c r="A4" s="653" t="s">
        <v>33</v>
      </c>
      <c r="B4" s="668">
        <v>50</v>
      </c>
      <c r="C4" s="668">
        <v>51</v>
      </c>
      <c r="D4"/>
      <c r="E4"/>
      <c r="F4"/>
      <c r="G4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67"/>
    </row>
    <row r="5" spans="1:18" ht="24.95" customHeight="1" x14ac:dyDescent="0.2">
      <c r="A5" s="653" t="s">
        <v>34</v>
      </c>
      <c r="B5" s="668">
        <f>(50*12)/2756</f>
        <v>0.21770682148040638</v>
      </c>
      <c r="C5" s="668">
        <f>(50*12)/2080</f>
        <v>0.28846153846153844</v>
      </c>
      <c r="D5"/>
      <c r="E5"/>
      <c r="F5" s="667"/>
      <c r="G5" s="667"/>
      <c r="H5" s="175"/>
      <c r="I5" s="175"/>
      <c r="J5" s="175"/>
      <c r="K5" s="175"/>
      <c r="L5" s="175"/>
      <c r="M5" s="175"/>
      <c r="N5" s="175"/>
      <c r="O5" s="175"/>
      <c r="P5" s="175"/>
      <c r="Q5" s="176"/>
      <c r="R5" s="167"/>
    </row>
    <row r="6" spans="1:18" ht="24.95" customHeight="1" x14ac:dyDescent="0.2">
      <c r="A6" s="653" t="s">
        <v>35</v>
      </c>
      <c r="B6" s="668">
        <f>(50*12)/2756</f>
        <v>0.21770682148040638</v>
      </c>
      <c r="C6" s="668">
        <f>(50*12)/2080</f>
        <v>0.28846153846153844</v>
      </c>
      <c r="D6"/>
      <c r="E6"/>
      <c r="F6"/>
      <c r="G6" s="175"/>
      <c r="H6" s="175"/>
      <c r="I6" s="175"/>
      <c r="J6" s="175"/>
      <c r="K6" s="175"/>
      <c r="L6" s="175"/>
      <c r="M6" s="175"/>
      <c r="N6" s="175"/>
      <c r="O6" s="177"/>
      <c r="P6" s="175"/>
      <c r="Q6" s="176"/>
      <c r="R6" s="167"/>
    </row>
    <row r="7" spans="1:18" ht="24.75" customHeight="1" x14ac:dyDescent="0.2">
      <c r="A7" s="653" t="s">
        <v>36</v>
      </c>
      <c r="B7" s="668">
        <f>(50*12)/2756</f>
        <v>0.21770682148040638</v>
      </c>
      <c r="C7" s="668">
        <f>(50*12)/2080</f>
        <v>0.28846153846153844</v>
      </c>
      <c r="D7"/>
      <c r="E7"/>
      <c r="F7"/>
      <c r="G7" s="175"/>
      <c r="H7" s="175"/>
      <c r="I7" s="175"/>
      <c r="J7" s="175"/>
      <c r="K7" s="175"/>
      <c r="L7" s="175"/>
      <c r="M7" s="175"/>
      <c r="N7" s="175"/>
      <c r="O7" s="177"/>
      <c r="P7" s="175"/>
      <c r="Q7" s="176"/>
      <c r="R7" s="167"/>
    </row>
    <row r="8" spans="1:18" ht="24.95" customHeight="1" x14ac:dyDescent="0.2">
      <c r="A8" s="653" t="s">
        <v>661</v>
      </c>
      <c r="B8" s="668">
        <f>(50*12)/2756</f>
        <v>0.21770682148040638</v>
      </c>
      <c r="C8" s="668">
        <f>(50*12)/2080</f>
        <v>0.28846153846153844</v>
      </c>
      <c r="D8"/>
      <c r="E8"/>
      <c r="F8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6"/>
      <c r="R8" s="167"/>
    </row>
    <row r="9" spans="1:18" ht="24.95" customHeight="1" x14ac:dyDescent="0.2">
      <c r="A9" s="653" t="s">
        <v>660</v>
      </c>
      <c r="B9" s="668">
        <f>(100*12)/2756</f>
        <v>0.43541364296081275</v>
      </c>
      <c r="C9" s="668">
        <f>(100*12)/2080</f>
        <v>0.57692307692307687</v>
      </c>
      <c r="D9"/>
      <c r="E9"/>
      <c r="F9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6"/>
      <c r="R9" s="167"/>
    </row>
    <row r="10" spans="1:18" ht="24.95" customHeight="1" x14ac:dyDescent="0.2">
      <c r="A10" s="653" t="s">
        <v>659</v>
      </c>
      <c r="B10" s="668">
        <f>(200*12)/2756+(0.01)</f>
        <v>0.88082728592162551</v>
      </c>
      <c r="C10" s="668">
        <f>(200*12)/2080</f>
        <v>1.1538461538461537</v>
      </c>
      <c r="D10"/>
      <c r="E10"/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6"/>
      <c r="R10" s="167"/>
    </row>
    <row r="11" spans="1:18" ht="24.95" customHeight="1" x14ac:dyDescent="0.2">
      <c r="A11" s="653" t="s">
        <v>37</v>
      </c>
      <c r="B11" s="668">
        <f>(200*12)/2756+(0.01)</f>
        <v>0.88082728592162551</v>
      </c>
      <c r="C11" s="668">
        <f>(200*12)/2080</f>
        <v>1.1538461538461537</v>
      </c>
      <c r="D11"/>
      <c r="E11"/>
      <c r="F11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6"/>
      <c r="R11" s="167"/>
    </row>
    <row r="12" spans="1:18" ht="24.95" customHeight="1" x14ac:dyDescent="0.2">
      <c r="A12" s="653" t="s">
        <v>38</v>
      </c>
      <c r="B12" s="668">
        <f>(50*12)/2756</f>
        <v>0.21770682148040638</v>
      </c>
      <c r="C12" s="668">
        <f>(50*12)/2080</f>
        <v>0.28846153846153844</v>
      </c>
      <c r="D12"/>
      <c r="E12"/>
      <c r="F12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6"/>
      <c r="R12" s="167"/>
    </row>
    <row r="13" spans="1:18" ht="24.95" customHeight="1" x14ac:dyDescent="0.2">
      <c r="A13" s="653" t="s">
        <v>39</v>
      </c>
      <c r="B13" s="668">
        <f>(75*12)/2756</f>
        <v>0.32656023222060959</v>
      </c>
      <c r="C13" s="668">
        <f>(75*12)/2080</f>
        <v>0.43269230769230771</v>
      </c>
      <c r="D13"/>
      <c r="E13"/>
      <c r="F13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6"/>
      <c r="R13" s="167"/>
    </row>
    <row r="14" spans="1:18" ht="24.95" customHeight="1" x14ac:dyDescent="0.2">
      <c r="A14" s="653" t="s">
        <v>40</v>
      </c>
      <c r="B14" s="668">
        <f>(100*12)/2756</f>
        <v>0.43541364296081275</v>
      </c>
      <c r="C14" s="668">
        <f>(100*12)/2080</f>
        <v>0.57692307692307687</v>
      </c>
      <c r="D14"/>
      <c r="E14"/>
      <c r="F14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6"/>
      <c r="R14" s="167"/>
    </row>
    <row r="15" spans="1:18" ht="24.95" customHeight="1" x14ac:dyDescent="0.2">
      <c r="A15" s="653" t="s">
        <v>343</v>
      </c>
      <c r="B15" s="668">
        <f>(50*12)/2756</f>
        <v>0.21770682148040638</v>
      </c>
      <c r="C15" s="668">
        <f>(50*12)/2080</f>
        <v>0.28846153846153844</v>
      </c>
      <c r="D15"/>
      <c r="E15"/>
      <c r="F1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6"/>
      <c r="R15" s="167"/>
    </row>
    <row r="16" spans="1:18" ht="24.95" customHeight="1" x14ac:dyDescent="0.2">
      <c r="A16" s="653" t="s">
        <v>696</v>
      </c>
      <c r="B16" s="668">
        <f>(100*12)/2756</f>
        <v>0.43541364296081275</v>
      </c>
      <c r="C16" s="668">
        <f>(100*12)/2080</f>
        <v>0.57692307692307687</v>
      </c>
      <c r="D16"/>
      <c r="E16"/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6"/>
      <c r="R16" s="167"/>
    </row>
    <row r="17" spans="1:18" ht="20.100000000000001" customHeight="1" x14ac:dyDescent="0.2">
      <c r="A17" s="167"/>
      <c r="B17" s="175"/>
      <c r="C17"/>
      <c r="D17"/>
      <c r="E17"/>
      <c r="F17"/>
      <c r="G17" s="175"/>
      <c r="H17" s="175"/>
      <c r="I17" s="175"/>
      <c r="J17" s="175"/>
      <c r="K17" s="175"/>
      <c r="L17" s="175"/>
      <c r="M17" s="175"/>
      <c r="N17" s="175"/>
      <c r="O17" s="177"/>
      <c r="P17" s="175"/>
      <c r="Q17" s="176"/>
      <c r="R17" s="167"/>
    </row>
    <row r="18" spans="1:18" ht="20.100000000000001" customHeight="1" x14ac:dyDescent="0.2">
      <c r="A18" s="556"/>
      <c r="B18" s="175"/>
      <c r="C18"/>
      <c r="D18"/>
      <c r="E18"/>
      <c r="F18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6"/>
      <c r="R18" s="167"/>
    </row>
    <row r="19" spans="1:18" ht="20.100000000000001" customHeight="1" x14ac:dyDescent="0.2">
      <c r="A19" s="167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6"/>
      <c r="R19" s="167"/>
    </row>
    <row r="20" spans="1:18" ht="20.100000000000001" customHeight="1" x14ac:dyDescent="0.2">
      <c r="A20" s="167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6"/>
      <c r="R20" s="167"/>
    </row>
    <row r="21" spans="1:18" x14ac:dyDescent="0.2">
      <c r="A21" s="167"/>
      <c r="B21" s="175"/>
      <c r="C21" s="175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75"/>
      <c r="P21" s="175"/>
      <c r="Q21" s="176"/>
      <c r="R21" s="167"/>
    </row>
    <row r="22" spans="1:18" x14ac:dyDescent="0.2">
      <c r="A22" s="167"/>
      <c r="B22" s="175"/>
      <c r="C22" s="175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</row>
    <row r="23" spans="1:18" x14ac:dyDescent="0.2">
      <c r="A23" s="167"/>
      <c r="B23" s="167"/>
    </row>
  </sheetData>
  <phoneticPr fontId="31" type="noConversion"/>
  <printOptions horizontalCentered="1"/>
  <pageMargins left="1" right="0.75" top="1.5" bottom="1" header="1.25" footer="0.5"/>
  <pageSetup orientation="portrait" r:id="rId1"/>
  <headerFooter alignWithMargins="0">
    <oddHeader>&amp;C&amp;12CERTIFICATION PAY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workbookViewId="0"/>
  </sheetViews>
  <sheetFormatPr defaultRowHeight="18.75" customHeight="1" x14ac:dyDescent="0.2"/>
  <cols>
    <col min="1" max="1" width="35.28515625" style="14" bestFit="1" customWidth="1"/>
    <col min="2" max="2" width="11.28515625" style="96" hidden="1" customWidth="1"/>
    <col min="3" max="3" width="11.28515625" style="14" hidden="1" customWidth="1"/>
    <col min="4" max="5" width="11.28515625" style="96" hidden="1" customWidth="1"/>
    <col min="6" max="8" width="11.28515625" style="96" customWidth="1"/>
    <col min="9" max="16384" width="9.140625" style="96"/>
  </cols>
  <sheetData>
    <row r="1" spans="1:8" ht="18.75" customHeight="1" x14ac:dyDescent="0.3">
      <c r="A1" s="581" t="s">
        <v>546</v>
      </c>
      <c r="B1" s="273"/>
      <c r="C1" s="190"/>
      <c r="D1" s="190"/>
      <c r="E1" s="190"/>
      <c r="F1" s="190"/>
      <c r="G1" s="190"/>
      <c r="H1" s="190"/>
    </row>
    <row r="2" spans="1:8" ht="18.75" customHeight="1" x14ac:dyDescent="0.3">
      <c r="A2" s="181"/>
      <c r="B2" s="257"/>
      <c r="C2" s="98"/>
      <c r="D2" s="98"/>
      <c r="E2" s="54"/>
      <c r="F2" s="54"/>
      <c r="G2" s="54"/>
      <c r="H2" s="54"/>
    </row>
    <row r="3" spans="1:8" s="189" customFormat="1" ht="18.75" customHeight="1" x14ac:dyDescent="0.2">
      <c r="A3" s="188" t="s">
        <v>130</v>
      </c>
      <c r="B3" s="191">
        <v>2010</v>
      </c>
      <c r="C3" s="406">
        <v>2013</v>
      </c>
      <c r="D3" s="480">
        <v>2014</v>
      </c>
      <c r="E3" s="480">
        <v>2015</v>
      </c>
      <c r="F3" s="480">
        <v>2016</v>
      </c>
      <c r="G3" s="480">
        <v>2017</v>
      </c>
      <c r="H3" s="480">
        <v>2018</v>
      </c>
    </row>
    <row r="4" spans="1:8" s="189" customFormat="1" ht="18.75" customHeight="1" x14ac:dyDescent="0.3">
      <c r="A4" s="34" t="s">
        <v>188</v>
      </c>
      <c r="B4" s="108">
        <v>10720</v>
      </c>
      <c r="C4" s="505">
        <v>10944.47</v>
      </c>
      <c r="D4" s="552">
        <f>2759.81+(2831*3)</f>
        <v>11252.81</v>
      </c>
      <c r="E4" s="552">
        <f>(2661.13*1)+(3201.95*3)</f>
        <v>12266.98</v>
      </c>
      <c r="F4" s="673">
        <v>12800</v>
      </c>
      <c r="G4" s="673">
        <f>3250*4</f>
        <v>13000</v>
      </c>
      <c r="H4" s="673">
        <v>14240</v>
      </c>
    </row>
    <row r="5" spans="1:8" s="189" customFormat="1" ht="18.75" customHeight="1" x14ac:dyDescent="0.3">
      <c r="A5" s="34" t="s">
        <v>262</v>
      </c>
      <c r="B5" s="108">
        <v>5570</v>
      </c>
      <c r="C5" s="505">
        <v>6000</v>
      </c>
      <c r="D5" s="505">
        <f>5900*1.19</f>
        <v>7021</v>
      </c>
      <c r="E5" s="505">
        <f>5874*1.27</f>
        <v>7459.9800000000005</v>
      </c>
      <c r="F5" s="674">
        <f>5874*1.34</f>
        <v>7871.1600000000008</v>
      </c>
      <c r="G5" s="674">
        <f>5874*1.44</f>
        <v>8458.56</v>
      </c>
      <c r="H5" s="674">
        <f>5970*1.58</f>
        <v>9432.6</v>
      </c>
    </row>
    <row r="6" spans="1:8" ht="18.75" customHeight="1" x14ac:dyDescent="0.3">
      <c r="A6" s="34" t="s">
        <v>42</v>
      </c>
      <c r="B6" s="42">
        <v>200</v>
      </c>
      <c r="C6" s="62">
        <v>200</v>
      </c>
      <c r="D6" s="62">
        <v>200</v>
      </c>
      <c r="E6" s="62">
        <v>200</v>
      </c>
      <c r="F6" s="675">
        <v>200</v>
      </c>
      <c r="G6" s="675">
        <v>200</v>
      </c>
      <c r="H6" s="675">
        <v>200</v>
      </c>
    </row>
    <row r="7" spans="1:8" ht="18.75" customHeight="1" x14ac:dyDescent="0.3">
      <c r="A7" s="286"/>
      <c r="B7" s="42"/>
      <c r="C7" s="62"/>
      <c r="D7" s="62"/>
      <c r="E7" s="62">
        <v>915.48</v>
      </c>
      <c r="F7" s="675"/>
      <c r="G7" s="676"/>
      <c r="H7" s="676"/>
    </row>
    <row r="8" spans="1:8" ht="18.75" customHeight="1" x14ac:dyDescent="0.3">
      <c r="A8" s="602"/>
      <c r="B8" s="42">
        <v>-2890</v>
      </c>
      <c r="C8" s="62"/>
      <c r="D8" s="62"/>
      <c r="E8" s="62"/>
      <c r="F8" s="675"/>
      <c r="G8" s="676"/>
      <c r="H8" s="676"/>
    </row>
    <row r="9" spans="1:8" ht="18.75" customHeight="1" x14ac:dyDescent="0.3">
      <c r="A9" s="68"/>
      <c r="B9" s="42"/>
      <c r="C9" s="62"/>
      <c r="D9" s="62"/>
      <c r="E9" s="62"/>
      <c r="F9" s="675"/>
      <c r="G9" s="676"/>
      <c r="H9" s="676"/>
    </row>
    <row r="10" spans="1:8" ht="18.75" customHeight="1" x14ac:dyDescent="0.3">
      <c r="A10" s="68"/>
      <c r="B10" s="42"/>
      <c r="C10" s="62"/>
      <c r="D10" s="62"/>
      <c r="E10" s="62"/>
      <c r="F10" s="675"/>
      <c r="G10" s="676"/>
      <c r="H10" s="676"/>
    </row>
    <row r="11" spans="1:8" ht="18.75" customHeight="1" x14ac:dyDescent="0.3">
      <c r="A11" s="444"/>
      <c r="B11" s="122">
        <v>-62.93</v>
      </c>
      <c r="C11" s="454"/>
      <c r="D11" s="454"/>
      <c r="E11" s="454"/>
      <c r="F11" s="677"/>
      <c r="G11" s="678"/>
      <c r="H11" s="678"/>
    </row>
    <row r="12" spans="1:8" ht="18.75" customHeight="1" x14ac:dyDescent="0.3">
      <c r="A12" s="442" t="s">
        <v>132</v>
      </c>
      <c r="B12" s="443">
        <f t="shared" ref="B12:H12" si="0">SUM(B4:B11)</f>
        <v>13537.07</v>
      </c>
      <c r="C12" s="443">
        <f t="shared" si="0"/>
        <v>17144.47</v>
      </c>
      <c r="D12" s="443">
        <f t="shared" si="0"/>
        <v>18473.809999999998</v>
      </c>
      <c r="E12" s="479">
        <f t="shared" si="0"/>
        <v>20842.439999999999</v>
      </c>
      <c r="F12" s="679">
        <f t="shared" si="0"/>
        <v>20871.16</v>
      </c>
      <c r="G12" s="680">
        <f t="shared" ref="G12" si="1">SUM(G4:G11)</f>
        <v>21658.559999999998</v>
      </c>
      <c r="H12" s="680">
        <f t="shared" si="0"/>
        <v>23872.6</v>
      </c>
    </row>
    <row r="13" spans="1:8" ht="16.5" customHeight="1" x14ac:dyDescent="0.3">
      <c r="A13" s="97"/>
      <c r="B13" s="27"/>
      <c r="C13" s="97"/>
      <c r="D13" s="27"/>
      <c r="E13" s="27"/>
      <c r="F13" s="27"/>
      <c r="G13" s="27"/>
      <c r="H13" s="27"/>
    </row>
    <row r="14" spans="1:8" ht="16.5" customHeight="1" x14ac:dyDescent="0.3">
      <c r="A14" s="17"/>
      <c r="B14" s="27"/>
      <c r="C14" s="97"/>
      <c r="D14" s="27"/>
      <c r="E14" s="27"/>
      <c r="F14" s="27"/>
    </row>
    <row r="15" spans="1:8" ht="16.5" customHeight="1" x14ac:dyDescent="0.3">
      <c r="A15" s="236"/>
      <c r="B15" s="137"/>
      <c r="C15" s="135"/>
      <c r="D15" s="137"/>
      <c r="E15" s="137"/>
      <c r="F15" s="137"/>
      <c r="G15" s="495"/>
      <c r="H15" s="495"/>
    </row>
    <row r="16" spans="1:8" ht="16.5" customHeight="1" x14ac:dyDescent="0.3">
      <c r="A16" s="236"/>
      <c r="B16" s="137"/>
      <c r="C16" s="135"/>
      <c r="D16" s="137"/>
      <c r="E16" s="137"/>
      <c r="F16" s="137"/>
      <c r="G16" s="495"/>
      <c r="H16" s="495"/>
    </row>
    <row r="17" spans="1:8" ht="16.5" customHeight="1" x14ac:dyDescent="0.3">
      <c r="A17" s="236"/>
      <c r="B17" s="137"/>
      <c r="C17" s="135"/>
      <c r="D17" s="137"/>
      <c r="E17" s="137"/>
      <c r="F17" s="137"/>
      <c r="G17" s="495"/>
      <c r="H17" s="495"/>
    </row>
    <row r="18" spans="1:8" ht="16.5" customHeight="1" x14ac:dyDescent="0.3">
      <c r="A18" s="236"/>
      <c r="B18" s="137"/>
      <c r="C18" s="135"/>
      <c r="D18" s="137"/>
      <c r="E18" s="137"/>
      <c r="F18" s="137"/>
      <c r="G18" s="495"/>
      <c r="H18" s="495"/>
    </row>
    <row r="19" spans="1:8" ht="16.5" customHeight="1" x14ac:dyDescent="0.3">
      <c r="A19" s="236"/>
      <c r="B19" s="137"/>
      <c r="C19" s="135"/>
      <c r="D19" s="137"/>
      <c r="E19" s="137"/>
      <c r="F19" s="137"/>
      <c r="G19" s="495"/>
      <c r="H19" s="495"/>
    </row>
    <row r="20" spans="1:8" ht="16.5" customHeight="1" x14ac:dyDescent="0.3">
      <c r="A20" s="236"/>
      <c r="B20" s="137"/>
      <c r="C20" s="135"/>
      <c r="D20" s="137"/>
      <c r="E20" s="137"/>
      <c r="F20" s="137"/>
      <c r="G20" s="495"/>
      <c r="H20" s="495"/>
    </row>
    <row r="21" spans="1:8" ht="16.5" customHeight="1" x14ac:dyDescent="0.3">
      <c r="A21" s="17"/>
      <c r="B21" s="27"/>
      <c r="C21" s="97"/>
      <c r="D21" s="27"/>
      <c r="E21" s="27"/>
      <c r="F21" s="27"/>
    </row>
    <row r="22" spans="1:8" ht="16.5" customHeight="1" x14ac:dyDescent="0.3">
      <c r="A22" s="17"/>
      <c r="B22" s="27"/>
      <c r="C22" s="97"/>
      <c r="D22" s="27"/>
      <c r="E22" s="27"/>
      <c r="F22" s="27"/>
    </row>
    <row r="23" spans="1:8" ht="16.5" customHeight="1" x14ac:dyDescent="0.3">
      <c r="A23" s="17"/>
      <c r="B23" s="27"/>
      <c r="C23" s="97"/>
      <c r="D23" s="27"/>
      <c r="E23" s="27"/>
      <c r="F23" s="27"/>
    </row>
    <row r="24" spans="1:8" ht="16.5" customHeight="1" x14ac:dyDescent="0.2">
      <c r="A24" s="494"/>
      <c r="B24" s="495"/>
      <c r="C24" s="496"/>
    </row>
    <row r="25" spans="1:8" ht="16.5" customHeight="1" x14ac:dyDescent="0.2">
      <c r="A25" s="494"/>
      <c r="B25" s="495"/>
      <c r="C25" s="496"/>
    </row>
    <row r="26" spans="1:8" ht="16.5" customHeight="1" x14ac:dyDescent="0.2">
      <c r="A26" s="200"/>
    </row>
    <row r="27" spans="1:8" ht="16.5" customHeight="1" x14ac:dyDescent="0.2">
      <c r="A27" s="200"/>
    </row>
    <row r="28" spans="1:8" ht="16.5" customHeight="1" x14ac:dyDescent="0.3">
      <c r="A28" s="17"/>
      <c r="B28" s="27"/>
      <c r="C28" s="97"/>
      <c r="D28" s="27"/>
      <c r="E28" s="27"/>
      <c r="F28" s="27"/>
    </row>
    <row r="29" spans="1:8" ht="16.5" customHeight="1" x14ac:dyDescent="0.3">
      <c r="A29" s="17"/>
      <c r="B29" s="27"/>
      <c r="C29" s="97"/>
      <c r="D29" s="27"/>
      <c r="E29" s="27"/>
      <c r="F29" s="27"/>
    </row>
    <row r="30" spans="1:8" ht="18.75" customHeight="1" x14ac:dyDescent="0.3">
      <c r="A30" s="185"/>
      <c r="B30" s="111"/>
      <c r="C30" s="274"/>
      <c r="D30" s="27"/>
      <c r="E30" s="27"/>
      <c r="F30" s="27"/>
    </row>
    <row r="31" spans="1:8" ht="18.75" customHeight="1" x14ac:dyDescent="0.3">
      <c r="A31" s="185"/>
      <c r="B31" s="27"/>
      <c r="C31" s="97"/>
      <c r="D31" s="27"/>
      <c r="E31" s="27"/>
      <c r="F31" s="27"/>
    </row>
    <row r="32" spans="1:8" ht="18.75" customHeight="1" x14ac:dyDescent="0.3">
      <c r="A32" s="185"/>
      <c r="B32" s="27"/>
      <c r="C32" s="97"/>
      <c r="D32" s="27"/>
      <c r="E32" s="27"/>
      <c r="F32" s="27"/>
    </row>
    <row r="33" spans="1:6" ht="18.75" customHeight="1" x14ac:dyDescent="0.3">
      <c r="A33" s="185"/>
      <c r="B33" s="27"/>
      <c r="C33" s="97"/>
      <c r="D33" s="27"/>
      <c r="E33" s="27"/>
      <c r="F33" s="27"/>
    </row>
    <row r="34" spans="1:6" ht="18.75" customHeight="1" x14ac:dyDescent="0.2">
      <c r="A34" s="187"/>
    </row>
    <row r="35" spans="1:6" ht="18.75" customHeight="1" x14ac:dyDescent="0.2">
      <c r="A35" s="96"/>
      <c r="C35" s="96"/>
    </row>
    <row r="36" spans="1:6" ht="18.75" customHeight="1" x14ac:dyDescent="0.2">
      <c r="A36" s="96"/>
      <c r="C36" s="96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0"/>
  <sheetViews>
    <sheetView workbookViewId="0"/>
  </sheetViews>
  <sheetFormatPr defaultRowHeight="18.75" customHeight="1" x14ac:dyDescent="0.3"/>
  <cols>
    <col min="1" max="1" width="46" style="97" bestFit="1" customWidth="1"/>
    <col min="2" max="2" width="10.42578125" style="45" hidden="1" customWidth="1"/>
    <col min="3" max="5" width="10.42578125" style="27" hidden="1" customWidth="1"/>
    <col min="6" max="8" width="10.42578125" style="27" customWidth="1"/>
    <col min="9" max="16384" width="9.140625" style="27"/>
  </cols>
  <sheetData>
    <row r="1" spans="1:8" s="46" customFormat="1" ht="18.75" customHeight="1" x14ac:dyDescent="0.3">
      <c r="A1" s="216" t="s">
        <v>561</v>
      </c>
      <c r="B1" s="203"/>
      <c r="C1" s="190"/>
      <c r="D1" s="190"/>
      <c r="E1" s="190"/>
      <c r="F1" s="190"/>
      <c r="G1" s="190"/>
      <c r="H1" s="190"/>
    </row>
    <row r="2" spans="1:8" ht="18.75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s="46" customFormat="1" ht="18.75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23" customFormat="1" ht="18.75" customHeight="1" x14ac:dyDescent="0.3">
      <c r="A4" s="101"/>
      <c r="B4" s="101"/>
      <c r="C4" s="101"/>
      <c r="D4" s="101"/>
      <c r="E4" s="101"/>
      <c r="F4" s="722"/>
      <c r="G4" s="722"/>
      <c r="H4" s="722"/>
    </row>
    <row r="5" spans="1:8" s="46" customFormat="1" ht="24.95" customHeight="1" x14ac:dyDescent="0.3">
      <c r="A5" s="41"/>
      <c r="B5" s="198"/>
      <c r="C5" s="198"/>
      <c r="D5" s="198"/>
      <c r="E5" s="198"/>
      <c r="F5" s="723"/>
      <c r="G5" s="723"/>
      <c r="H5" s="723"/>
    </row>
    <row r="6" spans="1:8" ht="24.95" customHeight="1" x14ac:dyDescent="0.3">
      <c r="A6" s="63" t="s">
        <v>61</v>
      </c>
      <c r="B6" s="62">
        <v>2000</v>
      </c>
      <c r="C6" s="62">
        <v>600</v>
      </c>
      <c r="D6" s="62">
        <v>500</v>
      </c>
      <c r="E6" s="62">
        <v>800</v>
      </c>
      <c r="F6" s="675">
        <v>800</v>
      </c>
      <c r="G6" s="675">
        <v>600</v>
      </c>
      <c r="H6" s="675">
        <v>700</v>
      </c>
    </row>
    <row r="7" spans="1:8" ht="24.95" customHeight="1" x14ac:dyDescent="0.3">
      <c r="A7" s="63" t="s">
        <v>62</v>
      </c>
      <c r="B7" s="62">
        <v>4600</v>
      </c>
      <c r="C7" s="62">
        <v>3500</v>
      </c>
      <c r="D7" s="62">
        <v>4000</v>
      </c>
      <c r="E7" s="62">
        <v>2500</v>
      </c>
      <c r="F7" s="675">
        <v>1800</v>
      </c>
      <c r="G7" s="675">
        <v>2000</v>
      </c>
      <c r="H7" s="675">
        <v>2100</v>
      </c>
    </row>
    <row r="8" spans="1:8" ht="24.95" customHeight="1" x14ac:dyDescent="0.3">
      <c r="A8" s="54" t="s">
        <v>182</v>
      </c>
      <c r="B8" s="42">
        <v>600</v>
      </c>
      <c r="C8" s="42">
        <v>500</v>
      </c>
      <c r="D8" s="42">
        <v>500</v>
      </c>
      <c r="E8" s="42">
        <v>500</v>
      </c>
      <c r="F8" s="686">
        <v>500</v>
      </c>
      <c r="G8" s="686">
        <v>500</v>
      </c>
      <c r="H8" s="686">
        <v>500</v>
      </c>
    </row>
    <row r="9" spans="1:8" ht="24.95" customHeight="1" x14ac:dyDescent="0.3">
      <c r="A9" s="63" t="s">
        <v>491</v>
      </c>
      <c r="B9" s="62">
        <v>800</v>
      </c>
      <c r="C9" s="62"/>
      <c r="D9" s="62">
        <v>300</v>
      </c>
      <c r="E9" s="62">
        <v>400</v>
      </c>
      <c r="F9" s="675">
        <v>400</v>
      </c>
      <c r="G9" s="675">
        <v>600</v>
      </c>
      <c r="H9" s="675">
        <v>600</v>
      </c>
    </row>
    <row r="10" spans="1:8" ht="24.95" hidden="1" customHeight="1" x14ac:dyDescent="0.3">
      <c r="A10" s="63" t="s">
        <v>392</v>
      </c>
      <c r="B10" s="62"/>
      <c r="C10" s="62">
        <v>600</v>
      </c>
      <c r="D10" s="62"/>
      <c r="E10" s="62"/>
      <c r="F10" s="675"/>
      <c r="G10" s="675"/>
      <c r="H10" s="675"/>
    </row>
    <row r="11" spans="1:8" ht="24.95" customHeight="1" x14ac:dyDescent="0.3">
      <c r="A11" s="464"/>
      <c r="B11" s="62"/>
      <c r="C11" s="62"/>
      <c r="D11" s="62"/>
      <c r="E11" s="62"/>
      <c r="F11" s="675"/>
      <c r="G11" s="675"/>
      <c r="H11" s="675"/>
    </row>
    <row r="12" spans="1:8" ht="24.95" customHeight="1" x14ac:dyDescent="0.3">
      <c r="A12" s="464"/>
      <c r="B12" s="62"/>
      <c r="C12" s="62"/>
      <c r="D12" s="62"/>
      <c r="E12" s="62"/>
      <c r="F12" s="675"/>
      <c r="G12" s="675"/>
      <c r="H12" s="675"/>
    </row>
    <row r="13" spans="1:8" ht="24.95" customHeight="1" thickBot="1" x14ac:dyDescent="0.35">
      <c r="A13" s="460"/>
      <c r="B13" s="283">
        <v>925</v>
      </c>
      <c r="C13" s="283"/>
      <c r="D13" s="283"/>
      <c r="E13" s="283"/>
      <c r="F13" s="778"/>
      <c r="G13" s="778"/>
      <c r="H13" s="778"/>
    </row>
    <row r="14" spans="1:8" ht="24.95" customHeight="1" thickTop="1" x14ac:dyDescent="0.3">
      <c r="A14" s="103" t="s">
        <v>128</v>
      </c>
      <c r="B14" s="133">
        <f t="shared" ref="B14:H14" si="0">SUM(B4:B13)</f>
        <v>8925</v>
      </c>
      <c r="C14" s="133">
        <f t="shared" si="0"/>
        <v>5200</v>
      </c>
      <c r="D14" s="133">
        <f t="shared" si="0"/>
        <v>5300</v>
      </c>
      <c r="E14" s="133">
        <f t="shared" si="0"/>
        <v>4200</v>
      </c>
      <c r="F14" s="735">
        <f t="shared" si="0"/>
        <v>3500</v>
      </c>
      <c r="G14" s="735">
        <f t="shared" ref="G14" si="1">SUM(G4:G13)</f>
        <v>3700</v>
      </c>
      <c r="H14" s="735">
        <f t="shared" si="0"/>
        <v>3900</v>
      </c>
    </row>
    <row r="15" spans="1:8" ht="18.75" customHeight="1" x14ac:dyDescent="0.3">
      <c r="B15" s="45" t="s">
        <v>129</v>
      </c>
    </row>
    <row r="16" spans="1:8" ht="18.75" customHeight="1" x14ac:dyDescent="0.3">
      <c r="A16" s="17"/>
    </row>
    <row r="17" spans="1:1" ht="18.75" customHeight="1" x14ac:dyDescent="0.3">
      <c r="A17" s="17"/>
    </row>
    <row r="18" spans="1:1" ht="18.75" customHeight="1" x14ac:dyDescent="0.3">
      <c r="A18" s="17"/>
    </row>
    <row r="19" spans="1:1" ht="18.75" customHeight="1" x14ac:dyDescent="0.3">
      <c r="A19" s="17"/>
    </row>
    <row r="20" spans="1:1" ht="18.75" customHeight="1" x14ac:dyDescent="0.3">
      <c r="A20" s="17"/>
    </row>
    <row r="21" spans="1:1" ht="18.75" customHeight="1" x14ac:dyDescent="0.3">
      <c r="A21" s="17"/>
    </row>
    <row r="22" spans="1:1" ht="18.75" customHeight="1" x14ac:dyDescent="0.3">
      <c r="A22" s="17"/>
    </row>
    <row r="23" spans="1:1" ht="18.75" customHeight="1" x14ac:dyDescent="0.3">
      <c r="A23" s="17"/>
    </row>
    <row r="24" spans="1:1" ht="18.75" customHeight="1" x14ac:dyDescent="0.3">
      <c r="A24" s="17"/>
    </row>
    <row r="25" spans="1:1" ht="18.75" customHeight="1" x14ac:dyDescent="0.3">
      <c r="A25" s="17"/>
    </row>
    <row r="26" spans="1:1" ht="18.75" customHeight="1" x14ac:dyDescent="0.3">
      <c r="A26" s="17"/>
    </row>
    <row r="27" spans="1:1" ht="18.75" customHeight="1" x14ac:dyDescent="0.3">
      <c r="A27" s="17"/>
    </row>
    <row r="28" spans="1:1" ht="18.75" customHeight="1" x14ac:dyDescent="0.3">
      <c r="A28" s="17"/>
    </row>
    <row r="29" spans="1:1" ht="18.75" customHeight="1" x14ac:dyDescent="0.3">
      <c r="A29" s="17"/>
    </row>
    <row r="30" spans="1:1" ht="18.75" customHeight="1" x14ac:dyDescent="0.3">
      <c r="A30" s="17"/>
    </row>
  </sheetData>
  <sortState ref="A11:E14">
    <sortCondition ref="A11:A14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31"/>
  <sheetViews>
    <sheetView workbookViewId="0"/>
  </sheetViews>
  <sheetFormatPr defaultRowHeight="14.25" x14ac:dyDescent="0.2"/>
  <cols>
    <col min="1" max="1" width="32.42578125" style="186" bestFit="1" customWidth="1"/>
    <col min="2" max="2" width="10.42578125" style="186" hidden="1" customWidth="1"/>
    <col min="3" max="3" width="10" style="186" hidden="1" customWidth="1"/>
    <col min="4" max="5" width="10.42578125" style="186" hidden="1" customWidth="1"/>
    <col min="6" max="8" width="10.42578125" style="186" customWidth="1"/>
    <col min="9" max="16384" width="9.140625" style="186"/>
  </cols>
  <sheetData>
    <row r="1" spans="1:8" ht="18" customHeight="1" x14ac:dyDescent="0.3">
      <c r="A1" s="216" t="s">
        <v>562</v>
      </c>
      <c r="B1" s="203"/>
      <c r="C1" s="190"/>
      <c r="D1" s="190"/>
      <c r="E1" s="190"/>
      <c r="F1" s="190"/>
      <c r="G1" s="190"/>
      <c r="H1" s="190"/>
    </row>
    <row r="2" spans="1:8" ht="18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ht="18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ht="18" customHeight="1" x14ac:dyDescent="0.3">
      <c r="A4" s="101"/>
      <c r="B4" s="101"/>
      <c r="C4" s="101"/>
      <c r="D4" s="101"/>
      <c r="E4" s="101"/>
      <c r="F4" s="722"/>
      <c r="G4" s="722"/>
      <c r="H4" s="722"/>
    </row>
    <row r="5" spans="1:8" ht="24.95" hidden="1" customHeight="1" x14ac:dyDescent="0.3">
      <c r="A5" s="54" t="s">
        <v>97</v>
      </c>
      <c r="B5" s="42">
        <v>400</v>
      </c>
      <c r="C5" s="42">
        <v>700</v>
      </c>
      <c r="D5" s="42" t="s">
        <v>504</v>
      </c>
      <c r="E5" s="42" t="s">
        <v>504</v>
      </c>
      <c r="F5" s="686" t="s">
        <v>504</v>
      </c>
      <c r="G5" s="686" t="s">
        <v>504</v>
      </c>
      <c r="H5" s="686" t="s">
        <v>504</v>
      </c>
    </row>
    <row r="6" spans="1:8" ht="24.95" customHeight="1" x14ac:dyDescent="0.3">
      <c r="A6" s="54" t="s">
        <v>98</v>
      </c>
      <c r="B6" s="42">
        <v>800</v>
      </c>
      <c r="C6" s="42">
        <v>800</v>
      </c>
      <c r="D6" s="42">
        <v>800</v>
      </c>
      <c r="E6" s="42">
        <v>800</v>
      </c>
      <c r="F6" s="686">
        <v>800</v>
      </c>
      <c r="G6" s="686">
        <v>800</v>
      </c>
      <c r="H6" s="686">
        <v>800</v>
      </c>
    </row>
    <row r="7" spans="1:8" ht="24.95" customHeight="1" x14ac:dyDescent="0.3">
      <c r="A7" s="54" t="s">
        <v>99</v>
      </c>
      <c r="B7" s="42">
        <v>700</v>
      </c>
      <c r="C7" s="42">
        <v>2600</v>
      </c>
      <c r="D7" s="42">
        <f>1700+1825</f>
        <v>3525</v>
      </c>
      <c r="E7" s="42">
        <f>1700+1825</f>
        <v>3525</v>
      </c>
      <c r="F7" s="686">
        <f>1700+1825</f>
        <v>3525</v>
      </c>
      <c r="G7" s="686">
        <f>1700+1825</f>
        <v>3525</v>
      </c>
      <c r="H7" s="686">
        <v>3600</v>
      </c>
    </row>
    <row r="8" spans="1:8" ht="24.95" hidden="1" customHeight="1" x14ac:dyDescent="0.3">
      <c r="A8" s="54" t="s">
        <v>100</v>
      </c>
      <c r="B8" s="62">
        <v>250</v>
      </c>
      <c r="C8" s="42" t="s">
        <v>504</v>
      </c>
      <c r="D8" s="42" t="s">
        <v>504</v>
      </c>
      <c r="E8" s="42" t="s">
        <v>504</v>
      </c>
      <c r="F8" s="686" t="s">
        <v>504</v>
      </c>
      <c r="G8" s="686" t="s">
        <v>504</v>
      </c>
      <c r="H8" s="686" t="s">
        <v>504</v>
      </c>
    </row>
    <row r="9" spans="1:8" ht="24.95" customHeight="1" x14ac:dyDescent="0.3">
      <c r="A9" s="54" t="s">
        <v>503</v>
      </c>
      <c r="B9" s="62">
        <v>125</v>
      </c>
      <c r="C9" s="42" t="s">
        <v>504</v>
      </c>
      <c r="D9" s="62">
        <f>610+460</f>
        <v>1070</v>
      </c>
      <c r="E9" s="62">
        <f>610+460</f>
        <v>1070</v>
      </c>
      <c r="F9" s="675">
        <f>610+460</f>
        <v>1070</v>
      </c>
      <c r="G9" s="675">
        <f>610+460</f>
        <v>1070</v>
      </c>
      <c r="H9" s="675">
        <v>1200</v>
      </c>
    </row>
    <row r="10" spans="1:8" ht="24.95" customHeight="1" x14ac:dyDescent="0.3">
      <c r="A10" s="54" t="s">
        <v>580</v>
      </c>
      <c r="B10" s="62"/>
      <c r="C10" s="42"/>
      <c r="D10" s="62"/>
      <c r="E10" s="197">
        <v>255</v>
      </c>
      <c r="F10" s="676">
        <v>275</v>
      </c>
      <c r="G10" s="676">
        <v>275</v>
      </c>
      <c r="H10" s="676">
        <v>300</v>
      </c>
    </row>
    <row r="11" spans="1:8" ht="24.95" customHeight="1" x14ac:dyDescent="0.3">
      <c r="A11" s="54" t="s">
        <v>428</v>
      </c>
      <c r="B11" s="62">
        <v>1000</v>
      </c>
      <c r="C11" s="62">
        <v>3400</v>
      </c>
      <c r="D11" s="62">
        <f>40*85</f>
        <v>3400</v>
      </c>
      <c r="E11" s="62">
        <f>40*85</f>
        <v>3400</v>
      </c>
      <c r="F11" s="675">
        <f>40*85</f>
        <v>3400</v>
      </c>
      <c r="G11" s="675">
        <f>40*85</f>
        <v>3400</v>
      </c>
      <c r="H11" s="675">
        <f>40*85</f>
        <v>3400</v>
      </c>
    </row>
    <row r="12" spans="1:8" ht="24.95" customHeight="1" x14ac:dyDescent="0.3">
      <c r="A12" s="54" t="s">
        <v>622</v>
      </c>
      <c r="B12" s="62">
        <v>500</v>
      </c>
      <c r="C12" s="62">
        <v>2125</v>
      </c>
      <c r="D12" s="62">
        <f>25*85</f>
        <v>2125</v>
      </c>
      <c r="E12" s="62">
        <f>25*85</f>
        <v>2125</v>
      </c>
      <c r="F12" s="675">
        <f>20*85</f>
        <v>1700</v>
      </c>
      <c r="G12" s="675">
        <f>20*85</f>
        <v>1700</v>
      </c>
      <c r="H12" s="675">
        <f>20*85</f>
        <v>1700</v>
      </c>
    </row>
    <row r="13" spans="1:8" ht="24.95" customHeight="1" x14ac:dyDescent="0.3">
      <c r="A13" s="66" t="s">
        <v>316</v>
      </c>
      <c r="B13" s="107">
        <v>100</v>
      </c>
      <c r="C13" s="107">
        <v>100</v>
      </c>
      <c r="D13" s="107">
        <v>150</v>
      </c>
      <c r="E13" s="107">
        <v>150</v>
      </c>
      <c r="F13" s="765">
        <v>150</v>
      </c>
      <c r="G13" s="765">
        <v>150</v>
      </c>
      <c r="H13" s="765">
        <v>150</v>
      </c>
    </row>
    <row r="14" spans="1:8" ht="24.95" customHeight="1" x14ac:dyDescent="0.3">
      <c r="A14" s="66" t="s">
        <v>315</v>
      </c>
      <c r="B14" s="107"/>
      <c r="C14" s="107">
        <v>60</v>
      </c>
      <c r="D14" s="107"/>
      <c r="E14" s="107">
        <v>60</v>
      </c>
      <c r="F14" s="765">
        <v>60</v>
      </c>
      <c r="G14" s="765">
        <v>60</v>
      </c>
      <c r="H14" s="765">
        <v>60</v>
      </c>
    </row>
    <row r="15" spans="1:8" ht="24.95" customHeight="1" x14ac:dyDescent="0.3">
      <c r="A15" s="66" t="s">
        <v>314</v>
      </c>
      <c r="B15" s="107">
        <v>70</v>
      </c>
      <c r="C15" s="107">
        <v>70</v>
      </c>
      <c r="D15" s="107">
        <v>70</v>
      </c>
      <c r="E15" s="107">
        <v>70</v>
      </c>
      <c r="F15" s="765">
        <v>70</v>
      </c>
      <c r="G15" s="765">
        <v>70</v>
      </c>
      <c r="H15" s="765">
        <v>70</v>
      </c>
    </row>
    <row r="16" spans="1:8" ht="24.95" customHeight="1" x14ac:dyDescent="0.3">
      <c r="A16" s="66" t="s">
        <v>313</v>
      </c>
      <c r="B16" s="107">
        <v>50</v>
      </c>
      <c r="C16" s="107">
        <v>85</v>
      </c>
      <c r="D16" s="107">
        <v>85</v>
      </c>
      <c r="E16" s="107">
        <v>85</v>
      </c>
      <c r="F16" s="765">
        <v>85</v>
      </c>
      <c r="G16" s="765">
        <v>85</v>
      </c>
      <c r="H16" s="765">
        <v>85</v>
      </c>
    </row>
    <row r="17" spans="1:9" ht="24.95" customHeight="1" x14ac:dyDescent="0.3">
      <c r="A17" s="66" t="s">
        <v>456</v>
      </c>
      <c r="B17" s="107"/>
      <c r="C17" s="107">
        <v>66</v>
      </c>
      <c r="D17" s="107">
        <f>70*2</f>
        <v>140</v>
      </c>
      <c r="E17" s="107">
        <f>70*2</f>
        <v>140</v>
      </c>
      <c r="F17" s="765">
        <f>70*2</f>
        <v>140</v>
      </c>
      <c r="G17" s="765">
        <f>70*2</f>
        <v>140</v>
      </c>
      <c r="H17" s="765">
        <f>70</f>
        <v>70</v>
      </c>
      <c r="I17" s="249" t="s">
        <v>697</v>
      </c>
    </row>
    <row r="18" spans="1:9" ht="24.95" customHeight="1" x14ac:dyDescent="0.3">
      <c r="A18" s="66" t="s">
        <v>522</v>
      </c>
      <c r="B18" s="62"/>
      <c r="C18" s="62">
        <v>1500</v>
      </c>
      <c r="D18" s="62">
        <v>1500</v>
      </c>
      <c r="E18" s="62">
        <v>1600</v>
      </c>
      <c r="F18" s="676">
        <v>1600</v>
      </c>
      <c r="G18" s="676">
        <v>1600</v>
      </c>
      <c r="H18" s="676">
        <v>1700</v>
      </c>
    </row>
    <row r="19" spans="1:9" ht="24.95" customHeight="1" x14ac:dyDescent="0.3">
      <c r="A19" s="66" t="s">
        <v>499</v>
      </c>
      <c r="B19" s="62"/>
      <c r="C19" s="62"/>
      <c r="D19" s="62">
        <v>275</v>
      </c>
      <c r="E19" s="62">
        <v>300</v>
      </c>
      <c r="F19" s="675">
        <v>300</v>
      </c>
      <c r="G19" s="675">
        <v>300</v>
      </c>
      <c r="H19" s="675">
        <v>300</v>
      </c>
    </row>
    <row r="20" spans="1:9" ht="24.95" customHeight="1" x14ac:dyDescent="0.3">
      <c r="A20" s="66"/>
      <c r="B20" s="62"/>
      <c r="C20" s="62"/>
      <c r="D20" s="62"/>
      <c r="E20" s="62"/>
      <c r="F20" s="675"/>
      <c r="G20" s="675"/>
      <c r="H20" s="675"/>
    </row>
    <row r="21" spans="1:9" ht="24.95" customHeight="1" x14ac:dyDescent="0.3">
      <c r="A21" s="66"/>
      <c r="B21" s="454">
        <v>-1000</v>
      </c>
      <c r="C21" s="454"/>
      <c r="D21" s="454"/>
      <c r="E21" s="454"/>
      <c r="F21" s="677"/>
      <c r="G21" s="677"/>
      <c r="H21" s="677"/>
    </row>
    <row r="22" spans="1:9" ht="24.95" customHeight="1" x14ac:dyDescent="0.3">
      <c r="A22" s="113" t="s">
        <v>178</v>
      </c>
      <c r="B22" s="379">
        <f t="shared" ref="B22:H22" si="0">SUM(B4:B21)</f>
        <v>2995</v>
      </c>
      <c r="C22" s="501">
        <f t="shared" si="0"/>
        <v>11506</v>
      </c>
      <c r="D22" s="501">
        <f t="shared" si="0"/>
        <v>13140</v>
      </c>
      <c r="E22" s="501">
        <f t="shared" si="0"/>
        <v>13580</v>
      </c>
      <c r="F22" s="440">
        <f t="shared" si="0"/>
        <v>13175</v>
      </c>
      <c r="G22" s="440">
        <f t="shared" ref="G22" si="1">SUM(G4:G21)</f>
        <v>13175</v>
      </c>
      <c r="H22" s="440">
        <f t="shared" si="0"/>
        <v>13435</v>
      </c>
    </row>
    <row r="23" spans="1:9" ht="18" customHeight="1" x14ac:dyDescent="0.3">
      <c r="A23" s="111"/>
      <c r="B23" s="111"/>
      <c r="C23" s="111"/>
      <c r="D23" s="111"/>
    </row>
    <row r="24" spans="1:9" ht="18" customHeight="1" x14ac:dyDescent="0.3">
      <c r="A24" s="111" t="s">
        <v>621</v>
      </c>
      <c r="B24" s="111"/>
      <c r="C24" s="111"/>
      <c r="D24" s="111"/>
    </row>
    <row r="25" spans="1:9" ht="18" customHeight="1" x14ac:dyDescent="0.3">
      <c r="A25" s="111"/>
      <c r="B25" s="111"/>
      <c r="C25" s="111"/>
      <c r="D25" s="111"/>
    </row>
    <row r="26" spans="1:9" ht="18" customHeight="1" x14ac:dyDescent="0.3">
      <c r="A26" s="111"/>
      <c r="B26" s="111"/>
      <c r="C26" s="111"/>
      <c r="D26" s="111"/>
    </row>
    <row r="27" spans="1:9" ht="18" customHeight="1" x14ac:dyDescent="0.3">
      <c r="A27" s="111"/>
      <c r="B27" s="111"/>
      <c r="C27" s="111"/>
      <c r="D27" s="111"/>
    </row>
    <row r="28" spans="1:9" ht="18" customHeight="1" x14ac:dyDescent="0.3">
      <c r="A28" s="111"/>
      <c r="B28" s="111"/>
      <c r="C28" s="111"/>
      <c r="D28" s="111"/>
    </row>
    <row r="29" spans="1:9" ht="16.5" x14ac:dyDescent="0.3">
      <c r="A29" s="111"/>
      <c r="B29" s="111"/>
      <c r="C29" s="111"/>
      <c r="D29" s="111"/>
    </row>
    <row r="30" spans="1:9" ht="16.5" x14ac:dyDescent="0.3">
      <c r="A30" s="111"/>
      <c r="B30" s="111"/>
      <c r="C30" s="111"/>
      <c r="D30" s="111"/>
    </row>
    <row r="31" spans="1:9" ht="16.5" x14ac:dyDescent="0.3">
      <c r="A31" s="111"/>
      <c r="B31" s="111"/>
      <c r="C31" s="111"/>
      <c r="D31" s="111"/>
    </row>
  </sheetData>
  <sortState ref="A13:E16">
    <sortCondition ref="A13:A16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24"/>
  <sheetViews>
    <sheetView workbookViewId="0"/>
  </sheetViews>
  <sheetFormatPr defaultRowHeight="16.5" x14ac:dyDescent="0.3"/>
  <cols>
    <col min="1" max="1" width="33" style="111" customWidth="1"/>
    <col min="2" max="4" width="11.7109375" style="111" hidden="1" customWidth="1"/>
    <col min="5" max="5" width="10.28515625" style="111" hidden="1" customWidth="1"/>
    <col min="6" max="8" width="10.28515625" style="111" customWidth="1"/>
    <col min="9" max="16384" width="9.140625" style="111"/>
  </cols>
  <sheetData>
    <row r="1" spans="1:8" ht="18" customHeight="1" x14ac:dyDescent="0.3">
      <c r="A1" s="216" t="s">
        <v>14</v>
      </c>
      <c r="B1" s="203"/>
      <c r="C1" s="190"/>
      <c r="D1" s="190"/>
      <c r="E1" s="190"/>
      <c r="F1" s="190"/>
      <c r="G1" s="190"/>
      <c r="H1" s="190"/>
    </row>
    <row r="2" spans="1:8" ht="18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ht="18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ht="18" customHeight="1" x14ac:dyDescent="0.3">
      <c r="A4" s="101"/>
      <c r="B4" s="101"/>
      <c r="C4" s="101"/>
      <c r="D4" s="101"/>
      <c r="E4" s="101"/>
      <c r="F4" s="101"/>
      <c r="G4" s="101"/>
      <c r="H4" s="101"/>
    </row>
    <row r="5" spans="1:8" ht="24.75" customHeight="1" x14ac:dyDescent="0.3">
      <c r="A5" s="115" t="s">
        <v>15</v>
      </c>
      <c r="B5" s="42"/>
      <c r="C5" s="42"/>
      <c r="D5" s="42"/>
      <c r="E5" s="42"/>
      <c r="F5" s="686"/>
      <c r="G5" s="686"/>
      <c r="H5" s="686"/>
    </row>
    <row r="6" spans="1:8" ht="18" customHeight="1" x14ac:dyDescent="0.3">
      <c r="A6" s="54" t="s">
        <v>111</v>
      </c>
      <c r="B6" s="42">
        <v>200</v>
      </c>
      <c r="C6" s="42">
        <v>100</v>
      </c>
      <c r="D6" s="42">
        <v>100</v>
      </c>
      <c r="E6" s="42">
        <v>200</v>
      </c>
      <c r="F6" s="686">
        <v>200</v>
      </c>
      <c r="G6" s="686">
        <v>0</v>
      </c>
      <c r="H6" s="686">
        <v>0</v>
      </c>
    </row>
    <row r="7" spans="1:8" ht="18" hidden="1" customHeight="1" x14ac:dyDescent="0.3">
      <c r="A7" s="54" t="s">
        <v>18</v>
      </c>
      <c r="B7" s="42">
        <v>300</v>
      </c>
      <c r="C7" s="42">
        <v>100</v>
      </c>
      <c r="D7" s="42">
        <v>100</v>
      </c>
      <c r="E7" s="42">
        <v>0</v>
      </c>
      <c r="F7" s="686">
        <v>0</v>
      </c>
      <c r="G7" s="686">
        <v>0</v>
      </c>
      <c r="H7" s="686">
        <v>0</v>
      </c>
    </row>
    <row r="8" spans="1:8" ht="18" customHeight="1" x14ac:dyDescent="0.3">
      <c r="A8" s="54" t="s">
        <v>19</v>
      </c>
      <c r="B8" s="42">
        <v>200</v>
      </c>
      <c r="C8" s="42">
        <v>100</v>
      </c>
      <c r="D8" s="42">
        <v>100</v>
      </c>
      <c r="E8" s="42">
        <v>100</v>
      </c>
      <c r="F8" s="686">
        <v>100</v>
      </c>
      <c r="G8" s="686">
        <v>400</v>
      </c>
      <c r="H8" s="686">
        <v>400</v>
      </c>
    </row>
    <row r="9" spans="1:8" ht="18" customHeight="1" x14ac:dyDescent="0.3">
      <c r="A9" s="54"/>
      <c r="B9" s="42">
        <v>1400</v>
      </c>
      <c r="C9" s="42"/>
      <c r="D9" s="42"/>
      <c r="E9" s="42"/>
      <c r="F9" s="686"/>
      <c r="G9" s="686"/>
      <c r="H9" s="686"/>
    </row>
    <row r="10" spans="1:8" ht="27.75" hidden="1" customHeight="1" x14ac:dyDescent="0.3">
      <c r="A10" s="116" t="s">
        <v>20</v>
      </c>
      <c r="B10" s="42"/>
      <c r="C10" s="42"/>
      <c r="D10" s="42"/>
      <c r="E10" s="42"/>
      <c r="F10" s="686"/>
      <c r="G10" s="686"/>
      <c r="H10" s="686"/>
    </row>
    <row r="11" spans="1:8" ht="18" hidden="1" customHeight="1" x14ac:dyDescent="0.3">
      <c r="A11" s="54" t="s">
        <v>21</v>
      </c>
      <c r="B11" s="62"/>
      <c r="C11" s="62"/>
      <c r="D11" s="62"/>
      <c r="E11" s="62"/>
      <c r="F11" s="675"/>
      <c r="G11" s="675"/>
      <c r="H11" s="675"/>
    </row>
    <row r="12" spans="1:8" ht="18" hidden="1" customHeight="1" x14ac:dyDescent="0.3">
      <c r="A12" s="455" t="s">
        <v>429</v>
      </c>
      <c r="B12" s="62">
        <v>1000</v>
      </c>
      <c r="C12" s="62"/>
      <c r="D12" s="62"/>
      <c r="E12" s="62"/>
      <c r="F12" s="675"/>
      <c r="G12" s="675"/>
      <c r="H12" s="675"/>
    </row>
    <row r="13" spans="1:8" ht="18" customHeight="1" x14ac:dyDescent="0.3">
      <c r="A13" s="455"/>
      <c r="B13" s="62"/>
      <c r="C13" s="62"/>
      <c r="D13" s="62"/>
      <c r="E13" s="62"/>
      <c r="F13" s="675"/>
      <c r="G13" s="675"/>
      <c r="H13" s="675"/>
    </row>
    <row r="14" spans="1:8" ht="18" customHeight="1" x14ac:dyDescent="0.3">
      <c r="A14" s="54"/>
      <c r="B14" s="62"/>
      <c r="C14" s="62"/>
      <c r="D14" s="62"/>
      <c r="E14" s="62"/>
      <c r="F14" s="675"/>
      <c r="G14" s="675"/>
      <c r="H14" s="675"/>
    </row>
    <row r="15" spans="1:8" ht="18" customHeight="1" x14ac:dyDescent="0.3">
      <c r="A15" s="54"/>
      <c r="B15" s="107"/>
      <c r="C15" s="107"/>
      <c r="D15" s="107"/>
      <c r="E15" s="107"/>
      <c r="F15" s="765"/>
      <c r="G15" s="765"/>
      <c r="H15" s="765"/>
    </row>
    <row r="16" spans="1:8" ht="18" customHeight="1" x14ac:dyDescent="0.3">
      <c r="A16" s="54"/>
      <c r="B16" s="107"/>
      <c r="C16" s="107"/>
      <c r="D16" s="107"/>
      <c r="E16" s="107"/>
      <c r="F16" s="765"/>
      <c r="G16" s="765"/>
      <c r="H16" s="765"/>
    </row>
    <row r="17" spans="1:8" ht="18" customHeight="1" thickBot="1" x14ac:dyDescent="0.35">
      <c r="A17" s="407"/>
      <c r="B17" s="107">
        <v>-3076.78</v>
      </c>
      <c r="C17" s="107">
        <v>-550</v>
      </c>
      <c r="D17" s="107"/>
      <c r="E17" s="107"/>
      <c r="F17" s="765"/>
      <c r="G17" s="765"/>
      <c r="H17" s="765"/>
    </row>
    <row r="18" spans="1:8" ht="18" customHeight="1" thickTop="1" x14ac:dyDescent="0.3">
      <c r="A18" s="113" t="s">
        <v>178</v>
      </c>
      <c r="B18" s="112">
        <f t="shared" ref="B18:H18" si="0">SUM(B4:B17)</f>
        <v>23.2199999999998</v>
      </c>
      <c r="C18" s="112">
        <f t="shared" si="0"/>
        <v>-250</v>
      </c>
      <c r="D18" s="112">
        <f t="shared" si="0"/>
        <v>300</v>
      </c>
      <c r="E18" s="112">
        <f t="shared" si="0"/>
        <v>300</v>
      </c>
      <c r="F18" s="766">
        <f t="shared" si="0"/>
        <v>300</v>
      </c>
      <c r="G18" s="766">
        <f t="shared" ref="G18" si="1">SUM(G4:G17)</f>
        <v>400</v>
      </c>
      <c r="H18" s="766">
        <f t="shared" si="0"/>
        <v>400</v>
      </c>
    </row>
    <row r="19" spans="1:8" ht="18" customHeight="1" x14ac:dyDescent="0.3"/>
    <row r="20" spans="1:8" ht="18" customHeight="1" x14ac:dyDescent="0.3"/>
    <row r="21" spans="1:8" ht="18" customHeight="1" x14ac:dyDescent="0.3"/>
    <row r="22" spans="1:8" ht="18" customHeight="1" x14ac:dyDescent="0.3"/>
    <row r="23" spans="1:8" ht="18" customHeight="1" x14ac:dyDescent="0.3"/>
    <row r="24" spans="1:8" ht="18" customHeight="1" x14ac:dyDescent="0.3"/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3"/>
  <cols>
    <col min="1" max="1" width="49.140625" style="97" bestFit="1" customWidth="1"/>
    <col min="2" max="2" width="10.7109375" style="28" hidden="1" customWidth="1"/>
    <col min="3" max="5" width="10.7109375" style="27" hidden="1" customWidth="1"/>
    <col min="6" max="8" width="10.7109375" style="27" customWidth="1"/>
    <col min="9" max="16384" width="9.140625" style="27"/>
  </cols>
  <sheetData>
    <row r="1" spans="1:8" s="46" customFormat="1" ht="18.75" customHeight="1" x14ac:dyDescent="0.3">
      <c r="A1" s="216" t="s">
        <v>209</v>
      </c>
      <c r="B1" s="206"/>
      <c r="C1" s="206"/>
      <c r="D1" s="206"/>
      <c r="E1" s="206"/>
      <c r="F1" s="206"/>
      <c r="G1" s="206"/>
      <c r="H1" s="206"/>
    </row>
    <row r="2" spans="1:8" ht="18.75" customHeight="1" x14ac:dyDescent="0.3">
      <c r="A2" s="98"/>
      <c r="B2" s="49"/>
      <c r="C2" s="49"/>
      <c r="D2" s="49"/>
      <c r="E2" s="49"/>
      <c r="F2" s="49"/>
      <c r="G2" s="49"/>
      <c r="H2" s="49"/>
    </row>
    <row r="3" spans="1:8" s="46" customFormat="1" ht="18.75" customHeight="1" x14ac:dyDescent="0.3">
      <c r="A3" s="41" t="s">
        <v>130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s="123" customFormat="1" ht="18.75" customHeight="1" x14ac:dyDescent="0.3">
      <c r="A4" s="101"/>
      <c r="B4" s="222"/>
      <c r="C4" s="222"/>
      <c r="D4" s="222"/>
      <c r="E4" s="222"/>
      <c r="F4" s="757"/>
      <c r="G4" s="757"/>
      <c r="H4" s="757"/>
    </row>
    <row r="5" spans="1:8" s="123" customFormat="1" ht="18.75" customHeight="1" x14ac:dyDescent="0.3">
      <c r="A5" s="63" t="s">
        <v>135</v>
      </c>
      <c r="B5" s="49">
        <v>2000</v>
      </c>
      <c r="C5" s="49">
        <v>5000</v>
      </c>
      <c r="D5" s="49">
        <v>6000</v>
      </c>
      <c r="E5" s="49">
        <v>6000</v>
      </c>
      <c r="F5" s="738">
        <v>6000</v>
      </c>
      <c r="G5" s="738">
        <v>7000</v>
      </c>
      <c r="H5" s="738">
        <v>7000</v>
      </c>
    </row>
    <row r="6" spans="1:8" s="123" customFormat="1" ht="18.75" customHeight="1" x14ac:dyDescent="0.3">
      <c r="A6" s="63" t="s">
        <v>588</v>
      </c>
      <c r="B6" s="49">
        <v>4000</v>
      </c>
      <c r="C6" s="49">
        <v>4600</v>
      </c>
      <c r="D6" s="553">
        <f>(199*2*2)+(646*2*3)</f>
        <v>4672</v>
      </c>
      <c r="E6" s="553">
        <f>(199*2*2)+(646*2*3)+2000</f>
        <v>6672</v>
      </c>
      <c r="F6" s="731">
        <v>7000</v>
      </c>
      <c r="G6" s="731">
        <v>7000</v>
      </c>
      <c r="H6" s="731">
        <v>7000</v>
      </c>
    </row>
    <row r="7" spans="1:8" s="123" customFormat="1" ht="18.75" customHeight="1" x14ac:dyDescent="0.3">
      <c r="A7" s="63" t="s">
        <v>136</v>
      </c>
      <c r="B7" s="49">
        <v>800</v>
      </c>
      <c r="C7" s="49">
        <v>850</v>
      </c>
      <c r="D7" s="553">
        <f>(95*4*2)+80</f>
        <v>840</v>
      </c>
      <c r="E7" s="553">
        <f>(175*4)+100</f>
        <v>800</v>
      </c>
      <c r="F7" s="731">
        <f>(95*4)+(80*4)+200</f>
        <v>900</v>
      </c>
      <c r="G7" s="731">
        <f>(95*4)+(80*4)+200</f>
        <v>900</v>
      </c>
      <c r="H7" s="731">
        <f>(95*4)+(80*4)+200</f>
        <v>900</v>
      </c>
    </row>
    <row r="8" spans="1:8" s="123" customFormat="1" ht="18.75" hidden="1" customHeight="1" x14ac:dyDescent="0.3">
      <c r="A8" s="233" t="s">
        <v>229</v>
      </c>
      <c r="B8" s="805">
        <v>8000</v>
      </c>
      <c r="C8" s="805">
        <v>8100</v>
      </c>
      <c r="D8" s="805">
        <f>(660*12)</f>
        <v>7920</v>
      </c>
      <c r="E8" s="805">
        <v>0</v>
      </c>
      <c r="F8" s="793"/>
      <c r="G8" s="793"/>
      <c r="H8" s="793"/>
    </row>
    <row r="9" spans="1:8" s="123" customFormat="1" ht="18.75" customHeight="1" x14ac:dyDescent="0.3">
      <c r="A9" s="63" t="s">
        <v>41</v>
      </c>
      <c r="B9" s="49">
        <v>50</v>
      </c>
      <c r="C9" s="49">
        <v>100</v>
      </c>
      <c r="D9" s="49">
        <v>250</v>
      </c>
      <c r="E9" s="49">
        <v>500</v>
      </c>
      <c r="F9" s="738">
        <v>500</v>
      </c>
      <c r="G9" s="738">
        <v>500</v>
      </c>
      <c r="H9" s="738">
        <v>500</v>
      </c>
    </row>
    <row r="10" spans="1:8" s="123" customFormat="1" ht="18.75" customHeight="1" x14ac:dyDescent="0.3">
      <c r="A10" s="63" t="s">
        <v>589</v>
      </c>
      <c r="B10" s="49">
        <v>750</v>
      </c>
      <c r="C10" s="49">
        <v>500</v>
      </c>
      <c r="D10" s="49">
        <v>6000</v>
      </c>
      <c r="E10" s="49">
        <v>1200</v>
      </c>
      <c r="F10" s="738">
        <v>1200</v>
      </c>
      <c r="G10" s="738">
        <v>600</v>
      </c>
      <c r="H10" s="738">
        <v>600</v>
      </c>
    </row>
    <row r="11" spans="1:8" s="123" customFormat="1" ht="18.75" customHeight="1" x14ac:dyDescent="0.3">
      <c r="A11" s="63" t="s">
        <v>137</v>
      </c>
      <c r="B11" s="49">
        <v>3000</v>
      </c>
      <c r="C11" s="49">
        <v>9000</v>
      </c>
      <c r="D11" s="49">
        <v>10000</v>
      </c>
      <c r="E11" s="49">
        <v>10000</v>
      </c>
      <c r="F11" s="738">
        <v>10000</v>
      </c>
      <c r="G11" s="738">
        <v>17000</v>
      </c>
      <c r="H11" s="738">
        <v>18000</v>
      </c>
    </row>
    <row r="12" spans="1:8" s="123" customFormat="1" ht="18.75" customHeight="1" x14ac:dyDescent="0.3">
      <c r="A12" s="63" t="s">
        <v>134</v>
      </c>
      <c r="B12" s="49">
        <v>3000</v>
      </c>
      <c r="C12" s="49">
        <v>8000</v>
      </c>
      <c r="D12" s="49">
        <v>8000</v>
      </c>
      <c r="E12" s="49">
        <v>8000</v>
      </c>
      <c r="F12" s="738">
        <v>8000</v>
      </c>
      <c r="G12" s="738">
        <v>8000</v>
      </c>
      <c r="H12" s="738">
        <v>8000</v>
      </c>
    </row>
    <row r="13" spans="1:8" s="123" customFormat="1" ht="18.75" hidden="1" customHeight="1" x14ac:dyDescent="0.3">
      <c r="A13" s="233" t="s">
        <v>267</v>
      </c>
      <c r="B13" s="807">
        <v>1200</v>
      </c>
      <c r="C13" s="807">
        <v>1800</v>
      </c>
      <c r="D13" s="807">
        <f>150*12</f>
        <v>1800</v>
      </c>
      <c r="E13" s="807">
        <v>0</v>
      </c>
      <c r="F13" s="808"/>
      <c r="G13" s="808"/>
      <c r="H13" s="808"/>
    </row>
    <row r="14" spans="1:8" ht="18" customHeight="1" x14ac:dyDescent="0.3">
      <c r="A14" s="234" t="s">
        <v>505</v>
      </c>
      <c r="B14" s="553">
        <v>800</v>
      </c>
      <c r="C14" s="553">
        <v>720</v>
      </c>
      <c r="D14" s="553">
        <f>(30*2*12)</f>
        <v>720</v>
      </c>
      <c r="E14" s="553">
        <f>(25*2*12)</f>
        <v>600</v>
      </c>
      <c r="F14" s="731">
        <v>600</v>
      </c>
      <c r="G14" s="731">
        <v>600</v>
      </c>
      <c r="H14" s="731">
        <f>64*12*2</f>
        <v>1536</v>
      </c>
    </row>
    <row r="15" spans="1:8" ht="18.75" customHeight="1" x14ac:dyDescent="0.3">
      <c r="A15" s="233" t="s">
        <v>317</v>
      </c>
      <c r="B15" s="805">
        <v>625</v>
      </c>
      <c r="C15" s="805">
        <v>625</v>
      </c>
      <c r="D15" s="805">
        <v>650</v>
      </c>
      <c r="E15" s="805">
        <v>625</v>
      </c>
      <c r="F15" s="793">
        <v>700</v>
      </c>
      <c r="G15" s="793">
        <v>700</v>
      </c>
      <c r="H15" s="793">
        <v>700</v>
      </c>
    </row>
    <row r="16" spans="1:8" ht="18.75" customHeight="1" x14ac:dyDescent="0.3">
      <c r="A16" s="250" t="s">
        <v>564</v>
      </c>
      <c r="B16" s="645"/>
      <c r="C16" s="645">
        <v>2000</v>
      </c>
      <c r="D16" s="645">
        <v>2000</v>
      </c>
      <c r="E16" s="645">
        <v>6000</v>
      </c>
      <c r="F16" s="734">
        <v>1200</v>
      </c>
      <c r="G16" s="734">
        <v>1200</v>
      </c>
      <c r="H16" s="734">
        <v>1200</v>
      </c>
    </row>
    <row r="17" spans="1:8" ht="18.75" customHeight="1" x14ac:dyDescent="0.3">
      <c r="A17" s="250" t="s">
        <v>430</v>
      </c>
      <c r="B17" s="645"/>
      <c r="C17" s="645">
        <v>1200</v>
      </c>
      <c r="D17" s="645">
        <v>1500</v>
      </c>
      <c r="E17" s="645">
        <v>1500</v>
      </c>
      <c r="F17" s="734">
        <v>1500</v>
      </c>
      <c r="G17" s="734">
        <v>1500</v>
      </c>
      <c r="H17" s="734">
        <v>1500</v>
      </c>
    </row>
    <row r="18" spans="1:8" ht="18.75" hidden="1" customHeight="1" x14ac:dyDescent="0.3">
      <c r="A18" s="250" t="s">
        <v>431</v>
      </c>
      <c r="B18" s="645"/>
      <c r="C18" s="645">
        <v>0</v>
      </c>
      <c r="D18" s="645">
        <v>0</v>
      </c>
      <c r="E18" s="645">
        <v>0</v>
      </c>
      <c r="F18" s="734"/>
      <c r="G18" s="734"/>
      <c r="H18" s="734"/>
    </row>
    <row r="19" spans="1:8" ht="18.75" hidden="1" customHeight="1" x14ac:dyDescent="0.3">
      <c r="A19" s="250" t="s">
        <v>432</v>
      </c>
      <c r="B19" s="645"/>
      <c r="C19" s="645">
        <v>0</v>
      </c>
      <c r="D19" s="645">
        <v>0</v>
      </c>
      <c r="E19" s="645">
        <v>0</v>
      </c>
      <c r="F19" s="734"/>
      <c r="G19" s="734"/>
      <c r="H19" s="734"/>
    </row>
    <row r="20" spans="1:8" ht="18.75" hidden="1" customHeight="1" x14ac:dyDescent="0.3">
      <c r="A20" s="250" t="s">
        <v>592</v>
      </c>
      <c r="B20" s="809"/>
      <c r="C20" s="805">
        <v>0</v>
      </c>
      <c r="D20" s="805">
        <f>300*18</f>
        <v>5400</v>
      </c>
      <c r="E20" s="805">
        <f>1200*8</f>
        <v>9600</v>
      </c>
      <c r="F20" s="793"/>
      <c r="G20" s="793"/>
      <c r="H20" s="793"/>
    </row>
    <row r="21" spans="1:8" ht="18.75" customHeight="1" x14ac:dyDescent="0.3">
      <c r="A21" s="250" t="s">
        <v>590</v>
      </c>
      <c r="B21" s="809"/>
      <c r="C21" s="805">
        <v>0</v>
      </c>
      <c r="D21" s="805">
        <v>0</v>
      </c>
      <c r="E21" s="805">
        <f>550+500</f>
        <v>1050</v>
      </c>
      <c r="F21" s="793">
        <v>1100</v>
      </c>
      <c r="G21" s="793">
        <v>0</v>
      </c>
      <c r="H21" s="793">
        <v>0</v>
      </c>
    </row>
    <row r="22" spans="1:8" ht="18.75" customHeight="1" x14ac:dyDescent="0.3">
      <c r="A22" s="250" t="s">
        <v>523</v>
      </c>
      <c r="B22" s="809"/>
      <c r="C22" s="805">
        <v>0</v>
      </c>
      <c r="D22" s="805">
        <v>0</v>
      </c>
      <c r="E22" s="805">
        <f>500+564</f>
        <v>1064</v>
      </c>
      <c r="F22" s="793">
        <v>1100</v>
      </c>
      <c r="G22" s="793">
        <v>0</v>
      </c>
      <c r="H22" s="793">
        <v>0</v>
      </c>
    </row>
    <row r="23" spans="1:8" ht="18.75" customHeight="1" x14ac:dyDescent="0.3">
      <c r="A23" s="250" t="s">
        <v>563</v>
      </c>
      <c r="B23" s="809"/>
      <c r="C23" s="805"/>
      <c r="D23" s="805"/>
      <c r="E23" s="805">
        <v>12000</v>
      </c>
      <c r="F23" s="793">
        <v>16000</v>
      </c>
      <c r="G23" s="793">
        <v>16000</v>
      </c>
      <c r="H23" s="793">
        <v>16000</v>
      </c>
    </row>
    <row r="24" spans="1:8" ht="18.75" customHeight="1" x14ac:dyDescent="0.3">
      <c r="A24" s="250" t="s">
        <v>591</v>
      </c>
      <c r="B24" s="809"/>
      <c r="C24" s="805"/>
      <c r="D24" s="805"/>
      <c r="E24" s="805">
        <f>300*4</f>
        <v>1200</v>
      </c>
      <c r="F24" s="793">
        <v>1200</v>
      </c>
      <c r="G24" s="793">
        <v>1200</v>
      </c>
      <c r="H24" s="793">
        <v>1200</v>
      </c>
    </row>
    <row r="25" spans="1:8" ht="18.75" customHeight="1" x14ac:dyDescent="0.3">
      <c r="A25" s="250" t="s">
        <v>611</v>
      </c>
      <c r="B25" s="810"/>
      <c r="C25" s="645"/>
      <c r="D25" s="645"/>
      <c r="E25" s="645"/>
      <c r="F25" s="734">
        <v>20000</v>
      </c>
      <c r="G25" s="734">
        <v>0</v>
      </c>
      <c r="H25" s="734">
        <v>0</v>
      </c>
    </row>
    <row r="26" spans="1:8" ht="18.75" customHeight="1" x14ac:dyDescent="0.3">
      <c r="A26" s="250" t="s">
        <v>623</v>
      </c>
      <c r="B26" s="810"/>
      <c r="C26" s="645"/>
      <c r="D26" s="645"/>
      <c r="E26" s="645"/>
      <c r="F26" s="734">
        <v>1800</v>
      </c>
      <c r="G26" s="734">
        <v>0</v>
      </c>
      <c r="H26" s="734">
        <v>0</v>
      </c>
    </row>
    <row r="27" spans="1:8" ht="18.75" customHeight="1" x14ac:dyDescent="0.3">
      <c r="A27" s="250" t="s">
        <v>708</v>
      </c>
      <c r="B27" s="810"/>
      <c r="C27" s="645"/>
      <c r="D27" s="645"/>
      <c r="E27" s="645"/>
      <c r="F27" s="734">
        <v>3600</v>
      </c>
      <c r="G27" s="734">
        <v>30000</v>
      </c>
      <c r="H27" s="734">
        <v>35000</v>
      </c>
    </row>
    <row r="28" spans="1:8" ht="18.75" customHeight="1" x14ac:dyDescent="0.3">
      <c r="A28" s="250" t="s">
        <v>613</v>
      </c>
      <c r="B28" s="810"/>
      <c r="C28" s="645"/>
      <c r="D28" s="645"/>
      <c r="E28" s="645"/>
      <c r="F28" s="734">
        <v>5000</v>
      </c>
      <c r="G28" s="734">
        <v>5000</v>
      </c>
      <c r="H28" s="734">
        <v>5000</v>
      </c>
    </row>
    <row r="29" spans="1:8" ht="18.75" customHeight="1" x14ac:dyDescent="0.3">
      <c r="A29" s="250" t="s">
        <v>674</v>
      </c>
      <c r="B29" s="810"/>
      <c r="C29" s="645"/>
      <c r="D29" s="645"/>
      <c r="E29" s="645"/>
      <c r="F29" s="734">
        <v>0</v>
      </c>
      <c r="G29" s="734">
        <v>5000</v>
      </c>
      <c r="H29" s="734">
        <v>0</v>
      </c>
    </row>
    <row r="30" spans="1:8" ht="18.75" customHeight="1" x14ac:dyDescent="0.3">
      <c r="A30" s="250" t="s">
        <v>730</v>
      </c>
      <c r="B30" s="810"/>
      <c r="C30" s="645"/>
      <c r="D30" s="645"/>
      <c r="E30" s="645"/>
      <c r="F30" s="734">
        <v>0</v>
      </c>
      <c r="G30" s="734">
        <v>0</v>
      </c>
      <c r="H30" s="734">
        <v>12000</v>
      </c>
    </row>
    <row r="31" spans="1:8" ht="18.75" customHeight="1" x14ac:dyDescent="0.3">
      <c r="A31" s="250" t="s">
        <v>731</v>
      </c>
      <c r="B31" s="810"/>
      <c r="C31" s="645"/>
      <c r="D31" s="645"/>
      <c r="E31" s="645"/>
      <c r="F31" s="734">
        <v>0</v>
      </c>
      <c r="G31" s="734">
        <v>0</v>
      </c>
      <c r="H31" s="734">
        <v>4000</v>
      </c>
    </row>
    <row r="32" spans="1:8" ht="18.75" customHeight="1" x14ac:dyDescent="0.3">
      <c r="A32" s="250" t="s">
        <v>748</v>
      </c>
      <c r="B32" s="810"/>
      <c r="C32" s="645"/>
      <c r="D32" s="645"/>
      <c r="E32" s="645"/>
      <c r="F32" s="734"/>
      <c r="G32" s="734"/>
      <c r="H32" s="734">
        <v>9000</v>
      </c>
    </row>
    <row r="33" spans="1:8" ht="18.75" customHeight="1" thickBot="1" x14ac:dyDescent="0.35">
      <c r="A33" s="250"/>
      <c r="B33" s="811">
        <v>4500</v>
      </c>
      <c r="C33" s="812"/>
      <c r="D33" s="812"/>
      <c r="E33" s="812"/>
      <c r="F33" s="813"/>
      <c r="G33" s="813"/>
      <c r="H33" s="813"/>
    </row>
    <row r="34" spans="1:8" ht="18.75" customHeight="1" thickTop="1" x14ac:dyDescent="0.3">
      <c r="A34" s="103" t="s">
        <v>128</v>
      </c>
      <c r="B34" s="806">
        <f t="shared" ref="B34:D34" si="0">SUM(B4:B33)</f>
        <v>28725</v>
      </c>
      <c r="C34" s="806">
        <f t="shared" si="0"/>
        <v>42495</v>
      </c>
      <c r="D34" s="806">
        <f t="shared" si="0"/>
        <v>55752</v>
      </c>
      <c r="E34" s="806">
        <f>SUM(E4:E33)</f>
        <v>66811</v>
      </c>
      <c r="F34" s="784">
        <f>SUM(F4:F33)</f>
        <v>87400</v>
      </c>
      <c r="G34" s="784">
        <f>SUM(G4:G33)</f>
        <v>102200</v>
      </c>
      <c r="H34" s="784">
        <f>SUM(H4:H33)</f>
        <v>129136</v>
      </c>
    </row>
    <row r="35" spans="1:8" s="46" customFormat="1" ht="18.75" customHeight="1" x14ac:dyDescent="0.3">
      <c r="A35" s="111"/>
      <c r="B35" s="111"/>
    </row>
    <row r="36" spans="1:8" ht="18.75" customHeight="1" x14ac:dyDescent="0.3">
      <c r="A36" s="111"/>
      <c r="B36" s="111"/>
    </row>
    <row r="37" spans="1:8" ht="18.75" customHeight="1" x14ac:dyDescent="0.3">
      <c r="A37" s="111"/>
      <c r="B37" s="111"/>
    </row>
    <row r="38" spans="1:8" ht="18.75" customHeight="1" x14ac:dyDescent="0.3">
      <c r="A38" s="111"/>
      <c r="B38" s="111"/>
    </row>
    <row r="39" spans="1:8" ht="18.75" customHeight="1" x14ac:dyDescent="0.3">
      <c r="A39" s="111"/>
      <c r="B39" s="111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2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2"/>
  <cols>
    <col min="1" max="1" width="43.85546875" style="14" customWidth="1"/>
    <col min="2" max="2" width="11" style="15" hidden="1" customWidth="1"/>
    <col min="3" max="5" width="11" style="96" hidden="1" customWidth="1"/>
    <col min="6" max="8" width="11" style="96" customWidth="1"/>
    <col min="9" max="16384" width="9.140625" style="96"/>
  </cols>
  <sheetData>
    <row r="1" spans="1:8" s="182" customFormat="1" ht="18.75" customHeight="1" x14ac:dyDescent="0.3">
      <c r="A1" s="216" t="s">
        <v>565</v>
      </c>
      <c r="B1" s="203"/>
      <c r="C1" s="203"/>
      <c r="D1" s="203"/>
      <c r="E1" s="203"/>
      <c r="F1" s="203"/>
      <c r="G1" s="203"/>
      <c r="H1" s="203"/>
    </row>
    <row r="2" spans="1:8" ht="18.75" customHeight="1" x14ac:dyDescent="0.3">
      <c r="A2" s="98"/>
      <c r="B2" s="49"/>
      <c r="C2" s="49"/>
      <c r="D2" s="49"/>
      <c r="E2" s="49"/>
      <c r="F2" s="49"/>
      <c r="G2" s="49"/>
      <c r="H2" s="49"/>
    </row>
    <row r="3" spans="1:8" s="182" customFormat="1" ht="18.75" customHeight="1" x14ac:dyDescent="0.3">
      <c r="A3" s="511" t="s">
        <v>130</v>
      </c>
      <c r="B3" s="512">
        <v>2010</v>
      </c>
      <c r="C3" s="512">
        <v>2013</v>
      </c>
      <c r="D3" s="512">
        <v>2014</v>
      </c>
      <c r="E3" s="512">
        <v>2015</v>
      </c>
      <c r="F3" s="512">
        <v>2016</v>
      </c>
      <c r="G3" s="512">
        <v>2017</v>
      </c>
      <c r="H3" s="512">
        <v>2018</v>
      </c>
    </row>
    <row r="4" spans="1:8" s="182" customFormat="1" ht="18.75" customHeight="1" x14ac:dyDescent="0.3">
      <c r="A4" s="509"/>
      <c r="B4" s="510"/>
      <c r="C4" s="510"/>
      <c r="D4" s="510"/>
      <c r="E4" s="510"/>
      <c r="F4" s="768"/>
      <c r="G4" s="768"/>
      <c r="H4" s="768"/>
    </row>
    <row r="5" spans="1:8" s="182" customFormat="1" ht="18.75" customHeight="1" x14ac:dyDescent="0.3">
      <c r="A5" s="63" t="s">
        <v>655</v>
      </c>
      <c r="B5" s="49">
        <v>100</v>
      </c>
      <c r="C5" s="49">
        <v>200</v>
      </c>
      <c r="D5" s="49">
        <v>200</v>
      </c>
      <c r="E5" s="49">
        <v>200</v>
      </c>
      <c r="F5" s="738">
        <v>200</v>
      </c>
      <c r="G5" s="738">
        <v>200</v>
      </c>
      <c r="H5" s="738">
        <v>200</v>
      </c>
    </row>
    <row r="6" spans="1:8" s="182" customFormat="1" ht="18.75" customHeight="1" x14ac:dyDescent="0.3">
      <c r="A6" s="63" t="s">
        <v>185</v>
      </c>
      <c r="B6" s="49">
        <v>1000</v>
      </c>
      <c r="C6" s="49">
        <v>600</v>
      </c>
      <c r="D6" s="49">
        <v>600</v>
      </c>
      <c r="E6" s="49">
        <v>600</v>
      </c>
      <c r="F6" s="738">
        <v>600</v>
      </c>
      <c r="G6" s="738">
        <v>600</v>
      </c>
      <c r="H6" s="738">
        <v>600</v>
      </c>
    </row>
    <row r="7" spans="1:8" s="182" customFormat="1" ht="18.75" customHeight="1" x14ac:dyDescent="0.3">
      <c r="A7" s="63" t="s">
        <v>187</v>
      </c>
      <c r="B7" s="49">
        <v>300</v>
      </c>
      <c r="C7" s="49">
        <v>500</v>
      </c>
      <c r="D7" s="49">
        <v>600</v>
      </c>
      <c r="E7" s="49">
        <v>600</v>
      </c>
      <c r="F7" s="738">
        <v>600</v>
      </c>
      <c r="G7" s="738">
        <v>800</v>
      </c>
      <c r="H7" s="738">
        <v>800</v>
      </c>
    </row>
    <row r="8" spans="1:8" s="182" customFormat="1" ht="18.75" customHeight="1" x14ac:dyDescent="0.3">
      <c r="A8" s="110" t="s">
        <v>46</v>
      </c>
      <c r="B8" s="49">
        <v>6900</v>
      </c>
      <c r="C8" s="49">
        <v>2400</v>
      </c>
      <c r="D8" s="49">
        <f>2400+600+600</f>
        <v>3600</v>
      </c>
      <c r="E8" s="49">
        <f>(176.9*2*12)</f>
        <v>4245.6000000000004</v>
      </c>
      <c r="F8" s="738">
        <f>(176.9*2*12)</f>
        <v>4245.6000000000004</v>
      </c>
      <c r="G8" s="738">
        <f>(176.9*2*12)</f>
        <v>4245.6000000000004</v>
      </c>
      <c r="H8" s="738">
        <f>(176.9*2*12)</f>
        <v>4245.6000000000004</v>
      </c>
    </row>
    <row r="9" spans="1:8" s="182" customFormat="1" ht="18.75" customHeight="1" x14ac:dyDescent="0.3">
      <c r="A9" s="63" t="s">
        <v>184</v>
      </c>
      <c r="B9" s="49">
        <v>600</v>
      </c>
      <c r="C9" s="49">
        <v>500</v>
      </c>
      <c r="D9" s="49">
        <v>600</v>
      </c>
      <c r="E9" s="49">
        <v>600</v>
      </c>
      <c r="F9" s="738">
        <v>700</v>
      </c>
      <c r="G9" s="738">
        <v>800</v>
      </c>
      <c r="H9" s="738">
        <v>800</v>
      </c>
    </row>
    <row r="10" spans="1:8" ht="18.75" customHeight="1" x14ac:dyDescent="0.3">
      <c r="A10" s="63" t="s">
        <v>183</v>
      </c>
      <c r="B10" s="49">
        <v>100</v>
      </c>
      <c r="C10" s="49">
        <v>100</v>
      </c>
      <c r="D10" s="49">
        <v>100</v>
      </c>
      <c r="E10" s="49">
        <v>100</v>
      </c>
      <c r="F10" s="738">
        <v>150</v>
      </c>
      <c r="G10" s="738">
        <v>150</v>
      </c>
      <c r="H10" s="738">
        <v>150</v>
      </c>
    </row>
    <row r="11" spans="1:8" ht="18.75" customHeight="1" x14ac:dyDescent="0.3">
      <c r="A11" s="63" t="s">
        <v>656</v>
      </c>
      <c r="B11" s="49">
        <v>2200</v>
      </c>
      <c r="C11" s="49">
        <v>1500</v>
      </c>
      <c r="D11" s="49">
        <v>1600</v>
      </c>
      <c r="E11" s="49">
        <v>1600</v>
      </c>
      <c r="F11" s="738">
        <v>1600</v>
      </c>
      <c r="G11" s="738">
        <v>1600</v>
      </c>
      <c r="H11" s="738">
        <v>1600</v>
      </c>
    </row>
    <row r="12" spans="1:8" ht="18.75" customHeight="1" x14ac:dyDescent="0.3">
      <c r="A12" s="63" t="s">
        <v>186</v>
      </c>
      <c r="B12" s="49">
        <v>500</v>
      </c>
      <c r="C12" s="49">
        <v>300</v>
      </c>
      <c r="D12" s="49">
        <v>250</v>
      </c>
      <c r="E12" s="49">
        <v>200</v>
      </c>
      <c r="F12" s="738">
        <v>200</v>
      </c>
      <c r="G12" s="738">
        <v>250</v>
      </c>
      <c r="H12" s="738">
        <v>250</v>
      </c>
    </row>
    <row r="13" spans="1:8" ht="18.75" customHeight="1" x14ac:dyDescent="0.3">
      <c r="A13" s="63" t="s">
        <v>657</v>
      </c>
      <c r="B13" s="49"/>
      <c r="C13" s="49">
        <v>750</v>
      </c>
      <c r="D13" s="49">
        <v>700</v>
      </c>
      <c r="E13" s="49">
        <v>700</v>
      </c>
      <c r="F13" s="738">
        <v>700</v>
      </c>
      <c r="G13" s="738">
        <v>700</v>
      </c>
      <c r="H13" s="738">
        <v>1500</v>
      </c>
    </row>
    <row r="14" spans="1:8" ht="18.75" customHeight="1" x14ac:dyDescent="0.3">
      <c r="A14" s="63" t="s">
        <v>658</v>
      </c>
      <c r="B14" s="49"/>
      <c r="C14" s="49">
        <v>750</v>
      </c>
      <c r="D14" s="49">
        <f>750+800</f>
        <v>1550</v>
      </c>
      <c r="E14" s="49">
        <v>1600</v>
      </c>
      <c r="F14" s="738">
        <v>1600</v>
      </c>
      <c r="G14" s="738">
        <v>1600</v>
      </c>
      <c r="H14" s="738">
        <v>1600</v>
      </c>
    </row>
    <row r="15" spans="1:8" ht="18.75" customHeight="1" x14ac:dyDescent="0.3">
      <c r="A15" s="55"/>
      <c r="B15" s="49"/>
      <c r="C15" s="49"/>
      <c r="D15" s="49"/>
      <c r="E15" s="49"/>
      <c r="F15" s="738"/>
      <c r="G15" s="738"/>
      <c r="H15" s="738"/>
    </row>
    <row r="16" spans="1:8" ht="18.75" customHeight="1" x14ac:dyDescent="0.3">
      <c r="A16" s="55"/>
      <c r="B16" s="49"/>
      <c r="C16" s="49"/>
      <c r="D16" s="49"/>
      <c r="E16" s="49"/>
      <c r="F16" s="738"/>
      <c r="G16" s="738"/>
      <c r="H16" s="738"/>
    </row>
    <row r="17" spans="1:8" ht="18.75" customHeight="1" x14ac:dyDescent="0.3">
      <c r="A17" s="55"/>
      <c r="B17" s="102"/>
      <c r="C17" s="102"/>
      <c r="D17" s="102"/>
      <c r="E17" s="102"/>
      <c r="F17" s="769"/>
      <c r="G17" s="769"/>
      <c r="H17" s="769"/>
    </row>
    <row r="18" spans="1:8" ht="18.75" customHeight="1" x14ac:dyDescent="0.3">
      <c r="A18" s="55"/>
      <c r="B18" s="102"/>
      <c r="C18" s="102"/>
      <c r="D18" s="102"/>
      <c r="E18" s="102"/>
      <c r="F18" s="769"/>
      <c r="G18" s="769"/>
      <c r="H18" s="769"/>
    </row>
    <row r="19" spans="1:8" ht="18.75" customHeight="1" thickBot="1" x14ac:dyDescent="0.35">
      <c r="A19" s="55"/>
      <c r="B19" s="102">
        <v>-3400</v>
      </c>
      <c r="C19" s="102"/>
      <c r="D19" s="102"/>
      <c r="E19" s="102"/>
      <c r="F19" s="769"/>
      <c r="G19" s="769"/>
      <c r="H19" s="769"/>
    </row>
    <row r="20" spans="1:8" ht="18.75" customHeight="1" thickTop="1" x14ac:dyDescent="0.3">
      <c r="A20" s="103" t="s">
        <v>128</v>
      </c>
      <c r="B20" s="89">
        <f t="shared" ref="B20:H20" si="0">SUM(B4:B19)</f>
        <v>8300</v>
      </c>
      <c r="C20" s="89">
        <f t="shared" si="0"/>
        <v>7600</v>
      </c>
      <c r="D20" s="89">
        <f t="shared" si="0"/>
        <v>9800</v>
      </c>
      <c r="E20" s="89">
        <f t="shared" si="0"/>
        <v>10445.6</v>
      </c>
      <c r="F20" s="770">
        <f t="shared" si="0"/>
        <v>10595.6</v>
      </c>
      <c r="G20" s="770">
        <f t="shared" ref="G20" si="1">SUM(G4:G19)</f>
        <v>10945.6</v>
      </c>
      <c r="H20" s="770">
        <f t="shared" si="0"/>
        <v>11745.6</v>
      </c>
    </row>
    <row r="21" spans="1:8" ht="18.75" customHeight="1" x14ac:dyDescent="0.3">
      <c r="A21" s="97"/>
      <c r="B21" s="45"/>
      <c r="C21" s="27"/>
    </row>
    <row r="22" spans="1:8" ht="18.75" customHeight="1" x14ac:dyDescent="0.3">
      <c r="A22" s="97"/>
      <c r="B22" s="45"/>
      <c r="C22" s="27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8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3"/>
  <cols>
    <col min="1" max="1" width="42.140625" style="97" customWidth="1"/>
    <col min="2" max="2" width="10.7109375" style="45" hidden="1" customWidth="1"/>
    <col min="3" max="5" width="10.7109375" style="27" hidden="1" customWidth="1"/>
    <col min="6" max="8" width="10.7109375" style="27" customWidth="1"/>
    <col min="9" max="16384" width="9.140625" style="27"/>
  </cols>
  <sheetData>
    <row r="1" spans="1:8" s="46" customFormat="1" ht="18.75" customHeight="1" x14ac:dyDescent="0.3">
      <c r="A1" s="216" t="s">
        <v>566</v>
      </c>
      <c r="B1" s="203"/>
      <c r="C1" s="190"/>
      <c r="D1" s="190"/>
      <c r="E1" s="190"/>
      <c r="F1" s="190"/>
      <c r="G1" s="190"/>
      <c r="H1" s="190"/>
    </row>
    <row r="2" spans="1:8" ht="18.75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s="46" customFormat="1" ht="18.75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23" customFormat="1" ht="18.75" customHeight="1" x14ac:dyDescent="0.3">
      <c r="A4" s="117"/>
      <c r="B4" s="117"/>
      <c r="C4" s="117"/>
      <c r="D4" s="117"/>
      <c r="E4" s="117"/>
      <c r="F4" s="726"/>
      <c r="G4" s="726"/>
      <c r="H4" s="726"/>
    </row>
    <row r="5" spans="1:8" s="123" customFormat="1" ht="24.95" customHeight="1" x14ac:dyDescent="0.3">
      <c r="A5" s="63" t="s">
        <v>515</v>
      </c>
      <c r="B5" s="192">
        <v>4500</v>
      </c>
      <c r="C5" s="192">
        <v>3000</v>
      </c>
      <c r="D5" s="192">
        <v>3200</v>
      </c>
      <c r="E5" s="192">
        <v>2600</v>
      </c>
      <c r="F5" s="686">
        <v>2600</v>
      </c>
      <c r="G5" s="686">
        <v>2600</v>
      </c>
      <c r="H5" s="686">
        <v>2600</v>
      </c>
    </row>
    <row r="6" spans="1:8" s="123" customFormat="1" ht="24.95" customHeight="1" x14ac:dyDescent="0.3">
      <c r="A6" s="63" t="s">
        <v>516</v>
      </c>
      <c r="B6" s="192">
        <v>200</v>
      </c>
      <c r="C6" s="192">
        <v>200</v>
      </c>
      <c r="D6" s="192">
        <v>300</v>
      </c>
      <c r="E6" s="192">
        <v>300</v>
      </c>
      <c r="F6" s="686">
        <v>300</v>
      </c>
      <c r="G6" s="686">
        <v>300</v>
      </c>
      <c r="H6" s="686">
        <v>300</v>
      </c>
    </row>
    <row r="7" spans="1:8" s="235" customFormat="1" ht="24.95" customHeight="1" x14ac:dyDescent="0.3">
      <c r="A7" s="120" t="s">
        <v>624</v>
      </c>
      <c r="B7" s="192">
        <v>3500</v>
      </c>
      <c r="C7" s="192">
        <v>5000</v>
      </c>
      <c r="D7" s="192">
        <v>5000</v>
      </c>
      <c r="E7" s="192">
        <v>3500</v>
      </c>
      <c r="F7" s="686">
        <v>3800</v>
      </c>
      <c r="G7" s="686">
        <v>3800</v>
      </c>
      <c r="H7" s="686">
        <v>3800</v>
      </c>
    </row>
    <row r="8" spans="1:8" ht="24.95" customHeight="1" x14ac:dyDescent="0.3">
      <c r="A8" s="63" t="s">
        <v>6</v>
      </c>
      <c r="B8" s="56">
        <v>600</v>
      </c>
      <c r="C8" s="56">
        <v>500</v>
      </c>
      <c r="D8" s="56">
        <v>600</v>
      </c>
      <c r="E8" s="56">
        <v>600</v>
      </c>
      <c r="F8" s="675">
        <v>600</v>
      </c>
      <c r="G8" s="675">
        <v>600</v>
      </c>
      <c r="H8" s="675">
        <v>800</v>
      </c>
    </row>
    <row r="9" spans="1:8" ht="24.95" customHeight="1" x14ac:dyDescent="0.3">
      <c r="A9" s="69" t="s">
        <v>518</v>
      </c>
      <c r="B9" s="56">
        <v>140</v>
      </c>
      <c r="C9" s="56">
        <v>500</v>
      </c>
      <c r="D9" s="56">
        <v>500</v>
      </c>
      <c r="E9" s="56">
        <v>400</v>
      </c>
      <c r="F9" s="675">
        <v>400</v>
      </c>
      <c r="G9" s="675">
        <v>400</v>
      </c>
      <c r="H9" s="675">
        <v>500</v>
      </c>
    </row>
    <row r="10" spans="1:8" ht="24.95" customHeight="1" x14ac:dyDescent="0.3">
      <c r="A10" s="63" t="s">
        <v>318</v>
      </c>
      <c r="B10" s="56">
        <v>450</v>
      </c>
      <c r="C10" s="56">
        <v>500</v>
      </c>
      <c r="D10" s="56">
        <v>600</v>
      </c>
      <c r="E10" s="56">
        <v>600</v>
      </c>
      <c r="F10" s="675">
        <v>600</v>
      </c>
      <c r="G10" s="675">
        <v>600</v>
      </c>
      <c r="H10" s="675">
        <v>600</v>
      </c>
    </row>
    <row r="11" spans="1:8" ht="24.95" customHeight="1" x14ac:dyDescent="0.3">
      <c r="A11" s="63" t="s">
        <v>360</v>
      </c>
      <c r="B11" s="56">
        <v>200</v>
      </c>
      <c r="C11" s="56">
        <v>300</v>
      </c>
      <c r="D11" s="56">
        <v>350</v>
      </c>
      <c r="E11" s="56">
        <v>350</v>
      </c>
      <c r="F11" s="675">
        <v>350</v>
      </c>
      <c r="G11" s="675">
        <v>350</v>
      </c>
      <c r="H11" s="675">
        <v>400</v>
      </c>
    </row>
    <row r="12" spans="1:8" ht="24.95" customHeight="1" x14ac:dyDescent="0.3">
      <c r="A12" s="63" t="s">
        <v>517</v>
      </c>
      <c r="B12" s="56"/>
      <c r="C12" s="56"/>
      <c r="D12" s="56"/>
      <c r="E12" s="58">
        <v>2000</v>
      </c>
      <c r="F12" s="676">
        <v>2250</v>
      </c>
      <c r="G12" s="676">
        <v>2250</v>
      </c>
      <c r="H12" s="676">
        <v>2400</v>
      </c>
    </row>
    <row r="13" spans="1:8" ht="24.95" customHeight="1" x14ac:dyDescent="0.3">
      <c r="A13" s="63"/>
      <c r="B13" s="56"/>
      <c r="C13" s="56"/>
      <c r="D13" s="56"/>
      <c r="E13" s="56"/>
      <c r="F13" s="675"/>
      <c r="G13" s="675"/>
      <c r="H13" s="675"/>
    </row>
    <row r="14" spans="1:8" ht="24.95" customHeight="1" x14ac:dyDescent="0.3">
      <c r="A14" s="471"/>
      <c r="B14" s="56"/>
      <c r="C14" s="56"/>
      <c r="D14" s="56"/>
      <c r="E14" s="56"/>
      <c r="F14" s="675"/>
      <c r="G14" s="675"/>
      <c r="H14" s="675"/>
    </row>
    <row r="15" spans="1:8" ht="24.95" customHeight="1" thickBot="1" x14ac:dyDescent="0.35">
      <c r="A15" s="464"/>
      <c r="B15" s="271">
        <v>-2000</v>
      </c>
      <c r="C15" s="271"/>
      <c r="D15" s="271"/>
      <c r="E15" s="271"/>
      <c r="F15" s="765"/>
      <c r="G15" s="765"/>
      <c r="H15" s="765"/>
    </row>
    <row r="16" spans="1:8" s="46" customFormat="1" ht="24.95" customHeight="1" thickTop="1" x14ac:dyDescent="0.3">
      <c r="A16" s="103" t="s">
        <v>128</v>
      </c>
      <c r="B16" s="202">
        <f t="shared" ref="B16:H16" si="0">SUM(B4:B15)</f>
        <v>7590</v>
      </c>
      <c r="C16" s="202">
        <f t="shared" si="0"/>
        <v>10000</v>
      </c>
      <c r="D16" s="202">
        <f t="shared" si="0"/>
        <v>10550</v>
      </c>
      <c r="E16" s="202">
        <f t="shared" si="0"/>
        <v>10350</v>
      </c>
      <c r="F16" s="689">
        <f t="shared" si="0"/>
        <v>10900</v>
      </c>
      <c r="G16" s="689">
        <f t="shared" ref="G16" si="1">SUM(G4:G15)</f>
        <v>10900</v>
      </c>
      <c r="H16" s="689">
        <f t="shared" si="0"/>
        <v>11400</v>
      </c>
    </row>
    <row r="18" spans="1:1" ht="18.75" customHeight="1" x14ac:dyDescent="0.3">
      <c r="A18" s="135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8"/>
  <sheetViews>
    <sheetView workbookViewId="0"/>
  </sheetViews>
  <sheetFormatPr defaultRowHeight="18.75" customHeight="1" x14ac:dyDescent="0.3"/>
  <cols>
    <col min="1" max="1" width="35.28515625" style="97" customWidth="1"/>
    <col min="2" max="2" width="10.7109375" style="45" hidden="1" customWidth="1"/>
    <col min="3" max="5" width="10.7109375" style="27" hidden="1" customWidth="1"/>
    <col min="6" max="8" width="10.7109375" style="27" customWidth="1"/>
    <col min="9" max="16384" width="9.140625" style="27"/>
  </cols>
  <sheetData>
    <row r="1" spans="1:8" s="46" customFormat="1" ht="18.75" customHeight="1" x14ac:dyDescent="0.3">
      <c r="A1" s="216" t="s">
        <v>567</v>
      </c>
      <c r="B1" s="203"/>
      <c r="C1" s="203"/>
      <c r="D1" s="203"/>
      <c r="E1" s="203"/>
      <c r="F1" s="203"/>
      <c r="G1" s="203"/>
      <c r="H1" s="203"/>
    </row>
    <row r="2" spans="1:8" ht="18.75" customHeight="1" x14ac:dyDescent="0.3">
      <c r="A2" s="98"/>
      <c r="B2" s="49"/>
      <c r="C2" s="49"/>
      <c r="D2" s="49"/>
      <c r="E2" s="49"/>
      <c r="F2" s="49"/>
      <c r="G2" s="49"/>
      <c r="H2" s="49"/>
    </row>
    <row r="3" spans="1:8" s="46" customFormat="1" ht="18.75" customHeight="1" x14ac:dyDescent="0.3">
      <c r="A3" s="41" t="s">
        <v>130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s="123" customFormat="1" ht="18.75" customHeight="1" x14ac:dyDescent="0.3">
      <c r="A4" s="101"/>
      <c r="B4" s="222"/>
      <c r="C4" s="222"/>
      <c r="D4" s="222"/>
      <c r="E4" s="222"/>
      <c r="F4" s="757"/>
      <c r="G4" s="757"/>
      <c r="H4" s="757"/>
    </row>
    <row r="5" spans="1:8" s="46" customFormat="1" ht="18.75" customHeight="1" x14ac:dyDescent="0.3">
      <c r="A5" s="63"/>
      <c r="B5" s="36"/>
      <c r="C5" s="36"/>
      <c r="D5" s="36"/>
      <c r="E5" s="36"/>
      <c r="F5" s="743"/>
      <c r="G5" s="743"/>
      <c r="H5" s="743"/>
    </row>
    <row r="6" spans="1:8" s="46" customFormat="1" ht="18.75" customHeight="1" x14ac:dyDescent="0.3">
      <c r="A6" s="63" t="s">
        <v>455</v>
      </c>
      <c r="B6" s="36">
        <v>210</v>
      </c>
      <c r="C6" s="36">
        <v>320</v>
      </c>
      <c r="D6" s="805">
        <v>320</v>
      </c>
      <c r="E6" s="805">
        <v>300</v>
      </c>
      <c r="F6" s="793">
        <v>300</v>
      </c>
      <c r="G6" s="793">
        <v>300</v>
      </c>
      <c r="H6" s="793">
        <v>300</v>
      </c>
    </row>
    <row r="7" spans="1:8" s="46" customFormat="1" ht="18.75" customHeight="1" x14ac:dyDescent="0.3">
      <c r="A7" s="63" t="s">
        <v>732</v>
      </c>
      <c r="B7" s="36">
        <v>70</v>
      </c>
      <c r="C7" s="36">
        <v>45</v>
      </c>
      <c r="D7" s="805">
        <v>45</v>
      </c>
      <c r="E7" s="805">
        <v>45</v>
      </c>
      <c r="F7" s="793">
        <v>45</v>
      </c>
      <c r="G7" s="793">
        <v>45</v>
      </c>
      <c r="H7" s="793">
        <v>45</v>
      </c>
    </row>
    <row r="8" spans="1:8" s="46" customFormat="1" ht="18.75" customHeight="1" x14ac:dyDescent="0.3">
      <c r="A8" s="63" t="s">
        <v>681</v>
      </c>
      <c r="B8" s="36">
        <v>1000</v>
      </c>
      <c r="C8" s="36">
        <v>1000</v>
      </c>
      <c r="D8" s="805">
        <v>1500</v>
      </c>
      <c r="E8" s="805">
        <f>500+750+1500</f>
        <v>2750</v>
      </c>
      <c r="F8" s="793">
        <v>3100</v>
      </c>
      <c r="G8" s="793">
        <v>750</v>
      </c>
      <c r="H8" s="793">
        <v>800</v>
      </c>
    </row>
    <row r="9" spans="1:8" s="46" customFormat="1" ht="18.75" customHeight="1" x14ac:dyDescent="0.3">
      <c r="A9" s="124"/>
      <c r="B9" s="36"/>
      <c r="C9" s="36"/>
      <c r="D9" s="36"/>
      <c r="E9" s="36"/>
      <c r="F9" s="743"/>
      <c r="G9" s="743"/>
      <c r="H9" s="743"/>
    </row>
    <row r="10" spans="1:8" ht="18.75" customHeight="1" x14ac:dyDescent="0.3">
      <c r="A10" s="124"/>
      <c r="B10" s="36"/>
      <c r="C10" s="36"/>
      <c r="D10" s="36"/>
      <c r="E10" s="36"/>
      <c r="F10" s="743"/>
      <c r="G10" s="743"/>
      <c r="H10" s="743"/>
    </row>
    <row r="11" spans="1:8" ht="18.75" customHeight="1" x14ac:dyDescent="0.3">
      <c r="A11" s="98"/>
      <c r="B11" s="36"/>
      <c r="C11" s="36"/>
      <c r="D11" s="36"/>
      <c r="E11" s="36"/>
      <c r="F11" s="743"/>
      <c r="G11" s="743"/>
      <c r="H11" s="743"/>
    </row>
    <row r="12" spans="1:8" ht="18.75" customHeight="1" thickBot="1" x14ac:dyDescent="0.35">
      <c r="A12" s="55"/>
      <c r="B12" s="50">
        <v>-75</v>
      </c>
      <c r="C12" s="50"/>
      <c r="D12" s="50"/>
      <c r="E12" s="50"/>
      <c r="F12" s="733"/>
      <c r="G12" s="733"/>
      <c r="H12" s="733"/>
    </row>
    <row r="13" spans="1:8" s="46" customFormat="1" ht="18.75" customHeight="1" thickTop="1" x14ac:dyDescent="0.3">
      <c r="A13" s="103" t="s">
        <v>128</v>
      </c>
      <c r="B13" s="806">
        <f t="shared" ref="B13:H13" si="0">SUM(B4:B12)</f>
        <v>1205</v>
      </c>
      <c r="C13" s="806">
        <f t="shared" si="0"/>
        <v>1365</v>
      </c>
      <c r="D13" s="806">
        <f t="shared" si="0"/>
        <v>1865</v>
      </c>
      <c r="E13" s="806">
        <f t="shared" si="0"/>
        <v>3095</v>
      </c>
      <c r="F13" s="784">
        <f t="shared" si="0"/>
        <v>3445</v>
      </c>
      <c r="G13" s="784">
        <f t="shared" ref="G13" si="1">SUM(G4:G12)</f>
        <v>1095</v>
      </c>
      <c r="H13" s="784">
        <f t="shared" si="0"/>
        <v>1145</v>
      </c>
    </row>
    <row r="15" spans="1:8" ht="18.75" customHeight="1" x14ac:dyDescent="0.3">
      <c r="A15" s="236"/>
      <c r="B15" s="136"/>
    </row>
    <row r="16" spans="1:8" ht="18.75" customHeight="1" x14ac:dyDescent="0.3">
      <c r="A16" s="236"/>
      <c r="B16" s="136"/>
    </row>
    <row r="17" spans="1:1" ht="18.75" customHeight="1" x14ac:dyDescent="0.3">
      <c r="A17" s="17"/>
    </row>
    <row r="18" spans="1:1" ht="18.75" customHeight="1" x14ac:dyDescent="0.3">
      <c r="A18" s="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28"/>
  <sheetViews>
    <sheetView workbookViewId="0"/>
  </sheetViews>
  <sheetFormatPr defaultRowHeight="18.75" customHeight="1" x14ac:dyDescent="0.3"/>
  <cols>
    <col min="1" max="1" width="40.28515625" style="97" bestFit="1" customWidth="1"/>
    <col min="2" max="2" width="10.42578125" style="45" hidden="1" customWidth="1"/>
    <col min="3" max="5" width="10.42578125" style="27" hidden="1" customWidth="1"/>
    <col min="6" max="8" width="10.42578125" style="27" customWidth="1"/>
    <col min="9" max="16384" width="9.140625" style="27"/>
  </cols>
  <sheetData>
    <row r="1" spans="1:13" s="46" customFormat="1" ht="18.75" customHeight="1" x14ac:dyDescent="0.3">
      <c r="A1" s="216" t="s">
        <v>568</v>
      </c>
      <c r="B1" s="203"/>
      <c r="C1" s="203"/>
      <c r="D1" s="203"/>
      <c r="E1" s="203"/>
      <c r="F1" s="203"/>
      <c r="G1" s="203"/>
      <c r="H1" s="203"/>
    </row>
    <row r="2" spans="1:13" ht="18.75" customHeight="1" x14ac:dyDescent="0.3">
      <c r="A2" s="98"/>
      <c r="B2" s="49"/>
      <c r="C2" s="49"/>
      <c r="D2" s="49"/>
      <c r="E2" s="49"/>
      <c r="F2" s="49"/>
      <c r="G2" s="49"/>
      <c r="H2" s="49"/>
    </row>
    <row r="3" spans="1:13" s="46" customFormat="1" ht="18.75" customHeight="1" x14ac:dyDescent="0.3">
      <c r="A3" s="104" t="s">
        <v>130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13" s="123" customFormat="1" ht="16.5" x14ac:dyDescent="0.3">
      <c r="A4" s="54"/>
      <c r="B4" s="118"/>
      <c r="C4" s="118"/>
      <c r="D4" s="118"/>
      <c r="E4" s="118"/>
      <c r="F4" s="773"/>
      <c r="G4" s="773"/>
      <c r="H4" s="773"/>
    </row>
    <row r="5" spans="1:13" s="46" customFormat="1" ht="18" customHeight="1" x14ac:dyDescent="0.3">
      <c r="A5" s="54" t="s">
        <v>160</v>
      </c>
      <c r="B5" s="61">
        <v>75</v>
      </c>
      <c r="C5" s="61">
        <v>200</v>
      </c>
      <c r="D5" s="61">
        <v>200</v>
      </c>
      <c r="E5" s="61">
        <v>200</v>
      </c>
      <c r="F5" s="739">
        <v>300</v>
      </c>
      <c r="G5" s="739">
        <f>200*3</f>
        <v>600</v>
      </c>
      <c r="H5" s="739">
        <f>200*4</f>
        <v>800</v>
      </c>
      <c r="I5" s="92" t="s">
        <v>744</v>
      </c>
    </row>
    <row r="6" spans="1:13" ht="18" customHeight="1" x14ac:dyDescent="0.3">
      <c r="A6" s="796" t="s">
        <v>492</v>
      </c>
      <c r="B6" s="797">
        <v>200</v>
      </c>
      <c r="C6" s="797">
        <v>200</v>
      </c>
      <c r="D6" s="797">
        <v>200</v>
      </c>
      <c r="E6" s="797">
        <v>200</v>
      </c>
      <c r="F6" s="798">
        <v>200</v>
      </c>
      <c r="G6" s="798">
        <v>200</v>
      </c>
      <c r="H6" s="798">
        <v>200</v>
      </c>
      <c r="I6" s="92"/>
    </row>
    <row r="7" spans="1:13" ht="18" hidden="1" customHeight="1" x14ac:dyDescent="0.3">
      <c r="A7" s="54" t="s">
        <v>389</v>
      </c>
      <c r="B7" s="61"/>
      <c r="C7" s="61">
        <v>30</v>
      </c>
      <c r="D7" s="61">
        <v>30</v>
      </c>
      <c r="E7" s="644"/>
      <c r="F7" s="742"/>
      <c r="G7" s="742"/>
      <c r="H7" s="742"/>
      <c r="I7" s="92" t="s">
        <v>369</v>
      </c>
    </row>
    <row r="8" spans="1:13" ht="18" hidden="1" customHeight="1" x14ac:dyDescent="0.3">
      <c r="A8" s="63" t="s">
        <v>80</v>
      </c>
      <c r="B8" s="61">
        <v>100</v>
      </c>
      <c r="C8" s="61">
        <v>125</v>
      </c>
      <c r="D8" s="61">
        <v>125</v>
      </c>
      <c r="E8" s="644"/>
      <c r="F8" s="742"/>
      <c r="G8" s="742"/>
      <c r="H8" s="742"/>
      <c r="I8" s="92" t="s">
        <v>369</v>
      </c>
    </row>
    <row r="9" spans="1:13" ht="18" hidden="1" customHeight="1" x14ac:dyDescent="0.3">
      <c r="A9" s="54" t="s">
        <v>28</v>
      </c>
      <c r="B9" s="61">
        <v>75</v>
      </c>
      <c r="C9" s="61">
        <v>75</v>
      </c>
      <c r="D9" s="61">
        <v>75</v>
      </c>
      <c r="E9" s="644"/>
      <c r="F9" s="742"/>
      <c r="G9" s="742"/>
      <c r="H9" s="742"/>
      <c r="I9" s="92" t="s">
        <v>369</v>
      </c>
      <c r="J9" s="111"/>
      <c r="K9" s="111"/>
      <c r="L9" s="111"/>
      <c r="M9" s="111"/>
    </row>
    <row r="10" spans="1:13" ht="18" customHeight="1" x14ac:dyDescent="0.3">
      <c r="A10" s="63" t="s">
        <v>527</v>
      </c>
      <c r="B10" s="49">
        <v>440</v>
      </c>
      <c r="C10" s="49">
        <v>234</v>
      </c>
      <c r="D10" s="49">
        <v>234</v>
      </c>
      <c r="E10" s="553">
        <v>234</v>
      </c>
      <c r="F10" s="731">
        <v>275</v>
      </c>
      <c r="G10" s="731">
        <v>289</v>
      </c>
      <c r="H10" s="731">
        <v>264</v>
      </c>
      <c r="I10" s="92" t="s">
        <v>457</v>
      </c>
    </row>
    <row r="11" spans="1:13" ht="18" customHeight="1" x14ac:dyDescent="0.3">
      <c r="A11" s="54" t="s">
        <v>331</v>
      </c>
      <c r="B11" s="61">
        <v>200</v>
      </c>
      <c r="C11" s="61">
        <v>200</v>
      </c>
      <c r="D11" s="61">
        <v>200</v>
      </c>
      <c r="E11" s="644">
        <v>200</v>
      </c>
      <c r="F11" s="742">
        <v>200</v>
      </c>
      <c r="G11" s="742">
        <v>200</v>
      </c>
      <c r="H11" s="742">
        <v>200</v>
      </c>
      <c r="I11" s="92"/>
    </row>
    <row r="12" spans="1:13" ht="18" customHeight="1" x14ac:dyDescent="0.3">
      <c r="A12" s="54" t="s">
        <v>433</v>
      </c>
      <c r="B12" s="61"/>
      <c r="C12" s="61">
        <v>85</v>
      </c>
      <c r="D12" s="61">
        <v>85</v>
      </c>
      <c r="E12" s="644">
        <v>90</v>
      </c>
      <c r="F12" s="742">
        <v>90</v>
      </c>
      <c r="G12" s="742">
        <v>90</v>
      </c>
      <c r="H12" s="742">
        <v>90</v>
      </c>
      <c r="I12" s="92" t="s">
        <v>697</v>
      </c>
    </row>
    <row r="13" spans="1:13" ht="18" customHeight="1" x14ac:dyDescent="0.3">
      <c r="A13" s="54" t="s">
        <v>581</v>
      </c>
      <c r="B13" s="61">
        <v>150</v>
      </c>
      <c r="C13" s="61">
        <v>165</v>
      </c>
      <c r="D13" s="61">
        <v>1165</v>
      </c>
      <c r="E13" s="644">
        <v>1165</v>
      </c>
      <c r="F13" s="742">
        <v>165</v>
      </c>
      <c r="G13" s="742">
        <v>165</v>
      </c>
      <c r="H13" s="742">
        <v>195</v>
      </c>
      <c r="I13" s="92"/>
    </row>
    <row r="14" spans="1:13" ht="18" customHeight="1" x14ac:dyDescent="0.3">
      <c r="A14" s="54" t="s">
        <v>386</v>
      </c>
      <c r="B14" s="61"/>
      <c r="C14" s="61">
        <v>350</v>
      </c>
      <c r="D14" s="61">
        <v>350</v>
      </c>
      <c r="E14" s="644">
        <v>350</v>
      </c>
      <c r="F14" s="742">
        <v>500</v>
      </c>
      <c r="G14" s="742">
        <v>500</v>
      </c>
      <c r="H14" s="742">
        <v>400</v>
      </c>
      <c r="I14" s="92" t="s">
        <v>617</v>
      </c>
    </row>
    <row r="15" spans="1:13" ht="18" customHeight="1" x14ac:dyDescent="0.3">
      <c r="A15" s="54" t="s">
        <v>319</v>
      </c>
      <c r="B15" s="61">
        <v>1000</v>
      </c>
      <c r="C15" s="61">
        <v>1000</v>
      </c>
      <c r="D15" s="61">
        <v>1000</v>
      </c>
      <c r="E15" s="644">
        <v>1100</v>
      </c>
      <c r="F15" s="742">
        <v>1250</v>
      </c>
      <c r="G15" s="742">
        <v>1250</v>
      </c>
      <c r="H15" s="742">
        <v>1400</v>
      </c>
      <c r="I15" s="92"/>
    </row>
    <row r="16" spans="1:13" ht="18" customHeight="1" x14ac:dyDescent="0.3">
      <c r="A16" s="54" t="s">
        <v>715</v>
      </c>
      <c r="B16" s="61">
        <v>175</v>
      </c>
      <c r="C16" s="61">
        <v>105</v>
      </c>
      <c r="D16" s="61">
        <f>4*35</f>
        <v>140</v>
      </c>
      <c r="E16" s="644">
        <f>4*35</f>
        <v>140</v>
      </c>
      <c r="F16" s="742">
        <f>(5*55)+55</f>
        <v>330</v>
      </c>
      <c r="G16" s="742">
        <f>(5*55)+((4*55)+110)</f>
        <v>605</v>
      </c>
      <c r="H16" s="742">
        <f>(4*55)+((4*60)+120)</f>
        <v>580</v>
      </c>
      <c r="I16" s="279"/>
    </row>
    <row r="17" spans="1:10" ht="18" customHeight="1" x14ac:dyDescent="0.3">
      <c r="A17" s="52" t="s">
        <v>253</v>
      </c>
      <c r="B17" s="61">
        <v>75</v>
      </c>
      <c r="C17" s="61">
        <v>75</v>
      </c>
      <c r="D17" s="61">
        <v>75</v>
      </c>
      <c r="E17" s="644">
        <v>75</v>
      </c>
      <c r="F17" s="742">
        <v>75</v>
      </c>
      <c r="G17" s="742">
        <v>75</v>
      </c>
      <c r="H17" s="742">
        <v>75</v>
      </c>
      <c r="I17" s="92"/>
    </row>
    <row r="18" spans="1:10" ht="18" customHeight="1" x14ac:dyDescent="0.3">
      <c r="A18" s="52" t="s">
        <v>45</v>
      </c>
      <c r="B18" s="61">
        <v>100</v>
      </c>
      <c r="C18" s="61">
        <v>200</v>
      </c>
      <c r="D18" s="61">
        <v>200</v>
      </c>
      <c r="E18" s="644">
        <v>200</v>
      </c>
      <c r="F18" s="742">
        <v>300</v>
      </c>
      <c r="G18" s="742">
        <f>150+(100*2)</f>
        <v>350</v>
      </c>
      <c r="H18" s="742">
        <f>150+(100*3)</f>
        <v>450</v>
      </c>
      <c r="I18" s="92" t="s">
        <v>744</v>
      </c>
    </row>
    <row r="19" spans="1:10" ht="18" hidden="1" customHeight="1" x14ac:dyDescent="0.3">
      <c r="A19" s="52" t="s">
        <v>528</v>
      </c>
      <c r="B19" s="61"/>
      <c r="C19" s="61">
        <v>22</v>
      </c>
      <c r="D19" s="61">
        <v>22</v>
      </c>
      <c r="E19" s="644"/>
      <c r="F19" s="742"/>
      <c r="G19" s="742"/>
      <c r="H19" s="742"/>
      <c r="I19" s="92" t="s">
        <v>369</v>
      </c>
    </row>
    <row r="20" spans="1:10" ht="18" customHeight="1" x14ac:dyDescent="0.3">
      <c r="A20" s="52" t="s">
        <v>526</v>
      </c>
      <c r="B20" s="61"/>
      <c r="C20" s="61"/>
      <c r="D20" s="61"/>
      <c r="E20" s="644">
        <v>50</v>
      </c>
      <c r="F20" s="742">
        <v>50</v>
      </c>
      <c r="G20" s="742">
        <v>75</v>
      </c>
      <c r="H20" s="742">
        <v>50</v>
      </c>
      <c r="I20" s="92" t="s">
        <v>457</v>
      </c>
      <c r="J20" s="137"/>
    </row>
    <row r="21" spans="1:10" ht="18" customHeight="1" x14ac:dyDescent="0.3">
      <c r="A21" s="52"/>
      <c r="B21" s="61"/>
      <c r="C21" s="61"/>
      <c r="D21" s="61"/>
      <c r="E21" s="644"/>
      <c r="F21" s="742"/>
      <c r="G21" s="742"/>
      <c r="H21" s="742"/>
      <c r="I21" s="92"/>
    </row>
    <row r="22" spans="1:10" ht="18" customHeight="1" x14ac:dyDescent="0.3">
      <c r="A22" s="52"/>
      <c r="B22" s="61"/>
      <c r="C22" s="61"/>
      <c r="D22" s="61"/>
      <c r="E22" s="644"/>
      <c r="F22" s="742"/>
      <c r="G22" s="742"/>
      <c r="H22" s="742"/>
      <c r="I22" s="92"/>
    </row>
    <row r="23" spans="1:10" ht="18" customHeight="1" x14ac:dyDescent="0.3">
      <c r="A23" s="799"/>
      <c r="B23" s="800">
        <v>-700</v>
      </c>
      <c r="C23" s="800"/>
      <c r="D23" s="800"/>
      <c r="E23" s="801"/>
      <c r="F23" s="802"/>
      <c r="G23" s="802"/>
      <c r="H23" s="802"/>
      <c r="I23" s="92"/>
    </row>
    <row r="24" spans="1:10" ht="18" customHeight="1" x14ac:dyDescent="0.3">
      <c r="A24" s="803" t="s">
        <v>128</v>
      </c>
      <c r="B24" s="443">
        <f>SUM(B4:B23)</f>
        <v>1890</v>
      </c>
      <c r="C24" s="443">
        <f>SUM(C4:C23)</f>
        <v>3066</v>
      </c>
      <c r="D24" s="443">
        <f>SUM(D4:D23)</f>
        <v>4101</v>
      </c>
      <c r="E24" s="443">
        <f>SUM(E5:E23)</f>
        <v>4004</v>
      </c>
      <c r="F24" s="804">
        <f>SUM(F5:F23)</f>
        <v>3735</v>
      </c>
      <c r="G24" s="804">
        <f>SUM(G5:G23)</f>
        <v>4399</v>
      </c>
      <c r="H24" s="804">
        <f>SUM(H5:H23)</f>
        <v>4704</v>
      </c>
      <c r="I24" s="248"/>
    </row>
    <row r="25" spans="1:10" s="46" customFormat="1" ht="22.5" customHeight="1" x14ac:dyDescent="0.3">
      <c r="A25" s="97"/>
      <c r="B25" s="45"/>
      <c r="C25" s="27"/>
      <c r="D25" s="27"/>
      <c r="E25" s="27"/>
      <c r="F25" s="27"/>
      <c r="G25" s="27"/>
      <c r="H25" s="27"/>
      <c r="I25" s="27"/>
    </row>
    <row r="26" spans="1:10" ht="18.75" customHeight="1" x14ac:dyDescent="0.3">
      <c r="A26" s="17"/>
    </row>
    <row r="27" spans="1:10" ht="18.75" customHeight="1" x14ac:dyDescent="0.3">
      <c r="A27" s="237"/>
    </row>
    <row r="28" spans="1:10" ht="18.75" customHeight="1" x14ac:dyDescent="0.3">
      <c r="A28" s="237"/>
    </row>
  </sheetData>
  <sortState ref="A5:F25">
    <sortCondition ref="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111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3"/>
  <cols>
    <col min="1" max="1" width="36.85546875" style="97" customWidth="1"/>
    <col min="2" max="2" width="11.7109375" style="45" hidden="1" customWidth="1"/>
    <col min="3" max="4" width="11.7109375" style="27" hidden="1" customWidth="1"/>
    <col min="5" max="5" width="11.42578125" style="27" hidden="1" customWidth="1"/>
    <col min="6" max="8" width="11.42578125" style="27" customWidth="1"/>
    <col min="9" max="16384" width="9.140625" style="27"/>
  </cols>
  <sheetData>
    <row r="1" spans="1:9" s="199" customFormat="1" ht="18.75" customHeight="1" x14ac:dyDescent="0.3">
      <c r="A1" s="216" t="s">
        <v>570</v>
      </c>
      <c r="B1" s="203"/>
      <c r="C1" s="203"/>
      <c r="D1" s="203"/>
      <c r="E1" s="203"/>
      <c r="F1" s="203"/>
      <c r="G1" s="203"/>
      <c r="H1" s="203"/>
    </row>
    <row r="2" spans="1:9" ht="12.75" customHeight="1" x14ac:dyDescent="0.3">
      <c r="A2" s="98"/>
      <c r="B2" s="49"/>
      <c r="C2" s="49"/>
      <c r="D2" s="49"/>
      <c r="E2" s="49"/>
      <c r="F2" s="49"/>
      <c r="G2" s="49"/>
      <c r="H2" s="49"/>
    </row>
    <row r="3" spans="1:9" s="46" customFormat="1" ht="18.75" customHeight="1" x14ac:dyDescent="0.3">
      <c r="A3" s="41" t="s">
        <v>130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111"/>
    </row>
    <row r="4" spans="1:9" s="123" customFormat="1" ht="18.75" customHeight="1" x14ac:dyDescent="0.3">
      <c r="A4" s="101"/>
      <c r="B4" s="130"/>
      <c r="C4" s="130"/>
      <c r="D4" s="130"/>
      <c r="E4" s="130"/>
      <c r="F4" s="737"/>
      <c r="G4" s="737"/>
      <c r="H4" s="737"/>
      <c r="I4" s="111"/>
    </row>
    <row r="5" spans="1:9" ht="18" customHeight="1" x14ac:dyDescent="0.3">
      <c r="A5" s="165" t="s">
        <v>0</v>
      </c>
      <c r="B5" s="105">
        <v>300</v>
      </c>
      <c r="C5" s="105">
        <v>500</v>
      </c>
      <c r="D5" s="105">
        <v>500</v>
      </c>
      <c r="E5" s="105">
        <v>500</v>
      </c>
      <c r="F5" s="731">
        <v>500</v>
      </c>
      <c r="G5" s="731">
        <v>0</v>
      </c>
      <c r="H5" s="731">
        <v>0</v>
      </c>
      <c r="I5" s="111"/>
    </row>
    <row r="6" spans="1:9" ht="18" customHeight="1" x14ac:dyDescent="0.3">
      <c r="A6" s="165" t="s">
        <v>519</v>
      </c>
      <c r="B6" s="105">
        <v>300</v>
      </c>
      <c r="C6" s="105">
        <v>250</v>
      </c>
      <c r="D6" s="105">
        <v>0</v>
      </c>
      <c r="E6" s="105">
        <f>50*12</f>
        <v>600</v>
      </c>
      <c r="F6" s="731">
        <f>75*12</f>
        <v>900</v>
      </c>
      <c r="G6" s="731">
        <f>50*12</f>
        <v>600</v>
      </c>
      <c r="H6" s="731">
        <f>30*12</f>
        <v>360</v>
      </c>
      <c r="I6" s="111"/>
    </row>
    <row r="7" spans="1:9" ht="18" hidden="1" customHeight="1" x14ac:dyDescent="0.3">
      <c r="A7" s="354" t="s">
        <v>582</v>
      </c>
      <c r="B7" s="355">
        <v>15000</v>
      </c>
      <c r="C7" s="355">
        <v>7200</v>
      </c>
      <c r="D7" s="355">
        <v>7500</v>
      </c>
      <c r="E7" s="355">
        <v>7500</v>
      </c>
      <c r="F7" s="774">
        <v>0</v>
      </c>
      <c r="G7" s="774">
        <v>0</v>
      </c>
      <c r="H7" s="774">
        <v>0</v>
      </c>
      <c r="I7" s="111"/>
    </row>
    <row r="8" spans="1:9" ht="18" customHeight="1" x14ac:dyDescent="0.3">
      <c r="A8" s="165" t="s">
        <v>569</v>
      </c>
      <c r="B8" s="105">
        <v>850</v>
      </c>
      <c r="C8" s="105">
        <v>900</v>
      </c>
      <c r="D8" s="105">
        <v>1000</v>
      </c>
      <c r="E8" s="105">
        <v>895</v>
      </c>
      <c r="F8" s="731">
        <v>950</v>
      </c>
      <c r="G8" s="731">
        <v>1000</v>
      </c>
      <c r="H8" s="731">
        <f>1000+500</f>
        <v>1500</v>
      </c>
      <c r="I8" s="111"/>
    </row>
    <row r="9" spans="1:9" ht="18" customHeight="1" x14ac:dyDescent="0.3">
      <c r="A9" s="354" t="s">
        <v>494</v>
      </c>
      <c r="B9" s="355"/>
      <c r="C9" s="355">
        <v>2400</v>
      </c>
      <c r="D9" s="64">
        <f>60*75</f>
        <v>4500</v>
      </c>
      <c r="E9" s="64">
        <f>60*75</f>
        <v>4500</v>
      </c>
      <c r="F9" s="775">
        <f>66*75</f>
        <v>4950</v>
      </c>
      <c r="G9" s="775">
        <f>66*75</f>
        <v>4950</v>
      </c>
      <c r="H9" s="775">
        <f>66*75</f>
        <v>4950</v>
      </c>
      <c r="I9" s="111"/>
    </row>
    <row r="10" spans="1:9" ht="18" customHeight="1" x14ac:dyDescent="0.3">
      <c r="A10" s="65" t="s">
        <v>1</v>
      </c>
      <c r="B10" s="105">
        <v>200</v>
      </c>
      <c r="C10" s="105">
        <v>400</v>
      </c>
      <c r="D10" s="105">
        <v>500</v>
      </c>
      <c r="E10" s="105">
        <v>500</v>
      </c>
      <c r="F10" s="731">
        <v>450</v>
      </c>
      <c r="G10" s="731">
        <v>1000</v>
      </c>
      <c r="H10" s="731">
        <v>1000</v>
      </c>
      <c r="I10" s="111"/>
    </row>
    <row r="11" spans="1:9" ht="18" customHeight="1" x14ac:dyDescent="0.3">
      <c r="A11" s="65" t="s">
        <v>520</v>
      </c>
      <c r="B11" s="105">
        <v>1000</v>
      </c>
      <c r="C11" s="105">
        <v>2500</v>
      </c>
      <c r="D11" s="105">
        <v>1500</v>
      </c>
      <c r="E11" s="105">
        <f>650*2</f>
        <v>1300</v>
      </c>
      <c r="F11" s="731">
        <f>650*3</f>
        <v>1950</v>
      </c>
      <c r="G11" s="731">
        <f>675*6</f>
        <v>4050</v>
      </c>
      <c r="H11" s="731">
        <f>775*4</f>
        <v>3100</v>
      </c>
      <c r="I11" s="111"/>
    </row>
    <row r="12" spans="1:9" ht="18" customHeight="1" x14ac:dyDescent="0.3">
      <c r="A12" s="354" t="s">
        <v>439</v>
      </c>
      <c r="B12" s="355"/>
      <c r="C12" s="355">
        <v>250</v>
      </c>
      <c r="D12" s="355">
        <v>300</v>
      </c>
      <c r="E12" s="355">
        <v>300</v>
      </c>
      <c r="F12" s="774">
        <v>300</v>
      </c>
      <c r="G12" s="774">
        <v>300</v>
      </c>
      <c r="H12" s="774">
        <v>350</v>
      </c>
      <c r="I12" s="111"/>
    </row>
    <row r="13" spans="1:9" ht="18" customHeight="1" x14ac:dyDescent="0.3">
      <c r="A13" s="65" t="s">
        <v>437</v>
      </c>
      <c r="B13" s="105">
        <v>1000</v>
      </c>
      <c r="C13" s="105">
        <v>200</v>
      </c>
      <c r="D13" s="105">
        <v>2500</v>
      </c>
      <c r="E13" s="105">
        <v>2500</v>
      </c>
      <c r="F13" s="731">
        <v>2500</v>
      </c>
      <c r="G13" s="731">
        <v>2500</v>
      </c>
      <c r="H13" s="731">
        <v>2500</v>
      </c>
      <c r="I13" s="111"/>
    </row>
    <row r="14" spans="1:9" ht="18" customHeight="1" x14ac:dyDescent="0.3">
      <c r="A14" s="65" t="s">
        <v>438</v>
      </c>
      <c r="B14" s="105">
        <v>500</v>
      </c>
      <c r="C14" s="105">
        <v>500</v>
      </c>
      <c r="D14" s="105">
        <v>500</v>
      </c>
      <c r="E14" s="105">
        <v>500</v>
      </c>
      <c r="F14" s="731">
        <v>600</v>
      </c>
      <c r="G14" s="731">
        <v>600</v>
      </c>
      <c r="H14" s="731">
        <v>600</v>
      </c>
      <c r="I14" s="111"/>
    </row>
    <row r="15" spans="1:9" ht="18" customHeight="1" x14ac:dyDescent="0.3">
      <c r="A15" s="456" t="s">
        <v>709</v>
      </c>
      <c r="B15" s="64"/>
      <c r="C15" s="64">
        <v>8000</v>
      </c>
      <c r="D15" s="64">
        <v>1000</v>
      </c>
      <c r="E15" s="64">
        <v>500</v>
      </c>
      <c r="F15" s="775">
        <v>500</v>
      </c>
      <c r="G15" s="775">
        <v>500</v>
      </c>
      <c r="H15" s="775">
        <v>500</v>
      </c>
      <c r="I15" s="111"/>
    </row>
    <row r="16" spans="1:9" ht="18" hidden="1" customHeight="1" x14ac:dyDescent="0.3">
      <c r="A16" s="457" t="s">
        <v>259</v>
      </c>
      <c r="B16" s="105">
        <v>200</v>
      </c>
      <c r="C16" s="105">
        <v>200</v>
      </c>
      <c r="D16" s="105">
        <v>200</v>
      </c>
      <c r="E16" s="105"/>
      <c r="F16" s="731"/>
      <c r="G16" s="731"/>
      <c r="H16" s="731"/>
      <c r="I16" s="111"/>
    </row>
    <row r="17" spans="1:9" ht="18" hidden="1" customHeight="1" x14ac:dyDescent="0.3">
      <c r="A17" s="354" t="s">
        <v>508</v>
      </c>
      <c r="B17" s="355"/>
      <c r="C17" s="355"/>
      <c r="D17" s="355"/>
      <c r="E17" s="355">
        <f>3500</f>
        <v>3500</v>
      </c>
      <c r="F17" s="774"/>
      <c r="G17" s="774"/>
      <c r="H17" s="774"/>
      <c r="I17" s="111"/>
    </row>
    <row r="18" spans="1:9" ht="18" customHeight="1" x14ac:dyDescent="0.3">
      <c r="A18" s="354" t="s">
        <v>625</v>
      </c>
      <c r="B18" s="355"/>
      <c r="C18" s="355"/>
      <c r="D18" s="355"/>
      <c r="E18" s="64">
        <f>1000*2</f>
        <v>2000</v>
      </c>
      <c r="F18" s="775">
        <v>1000</v>
      </c>
      <c r="G18" s="775">
        <v>1000</v>
      </c>
      <c r="H18" s="775">
        <v>600</v>
      </c>
      <c r="I18" s="111"/>
    </row>
    <row r="19" spans="1:9" ht="18" customHeight="1" x14ac:dyDescent="0.3">
      <c r="A19" s="354" t="s">
        <v>626</v>
      </c>
      <c r="B19" s="355"/>
      <c r="C19" s="355"/>
      <c r="D19" s="355"/>
      <c r="E19" s="355"/>
      <c r="F19" s="774">
        <f>(5*300)+(3*150)+(2*149)+(7*99)+9</f>
        <v>2950</v>
      </c>
      <c r="G19" s="774">
        <v>0</v>
      </c>
      <c r="H19" s="774">
        <v>750</v>
      </c>
      <c r="I19" s="111"/>
    </row>
    <row r="20" spans="1:9" ht="18" customHeight="1" x14ac:dyDescent="0.3">
      <c r="A20" s="354" t="s">
        <v>627</v>
      </c>
      <c r="B20" s="355"/>
      <c r="C20" s="355"/>
      <c r="D20" s="355"/>
      <c r="E20" s="355"/>
      <c r="F20" s="774">
        <f>250</f>
        <v>250</v>
      </c>
      <c r="G20" s="774">
        <v>0</v>
      </c>
      <c r="H20" s="774">
        <v>0</v>
      </c>
      <c r="I20" s="111"/>
    </row>
    <row r="21" spans="1:9" ht="18" customHeight="1" x14ac:dyDescent="0.3">
      <c r="A21" s="354" t="s">
        <v>710</v>
      </c>
      <c r="B21" s="355"/>
      <c r="C21" s="355"/>
      <c r="D21" s="355"/>
      <c r="E21" s="355"/>
      <c r="F21" s="774">
        <v>0</v>
      </c>
      <c r="G21" s="774">
        <v>0</v>
      </c>
      <c r="H21" s="774">
        <f>140*12</f>
        <v>1680</v>
      </c>
      <c r="I21" s="111"/>
    </row>
    <row r="22" spans="1:9" ht="18" customHeight="1" x14ac:dyDescent="0.3">
      <c r="A22" s="354" t="s">
        <v>711</v>
      </c>
      <c r="B22" s="917"/>
      <c r="C22" s="917"/>
      <c r="D22" s="917"/>
      <c r="E22" s="917"/>
      <c r="F22" s="918">
        <v>0</v>
      </c>
      <c r="G22" s="918">
        <v>0</v>
      </c>
      <c r="H22" s="918">
        <f>8.75*35*12</f>
        <v>3675</v>
      </c>
      <c r="I22" s="111"/>
    </row>
    <row r="23" spans="1:9" ht="18" customHeight="1" x14ac:dyDescent="0.3">
      <c r="A23" s="354" t="s">
        <v>712</v>
      </c>
      <c r="B23" s="917"/>
      <c r="C23" s="917"/>
      <c r="D23" s="917"/>
      <c r="E23" s="917"/>
      <c r="F23" s="918">
        <v>0</v>
      </c>
      <c r="G23" s="918">
        <v>0</v>
      </c>
      <c r="H23" s="918">
        <f>9*64*12</f>
        <v>6912</v>
      </c>
      <c r="I23" s="111"/>
    </row>
    <row r="24" spans="1:9" ht="18" customHeight="1" x14ac:dyDescent="0.3">
      <c r="A24" s="354"/>
      <c r="B24" s="917"/>
      <c r="C24" s="917"/>
      <c r="D24" s="917"/>
      <c r="E24" s="917"/>
      <c r="F24" s="918"/>
      <c r="G24" s="918"/>
      <c r="H24" s="918"/>
      <c r="I24" s="111"/>
    </row>
    <row r="25" spans="1:9" ht="18" customHeight="1" thickBot="1" x14ac:dyDescent="0.35">
      <c r="A25" s="459"/>
      <c r="B25" s="458">
        <v>-8000</v>
      </c>
      <c r="C25" s="458"/>
      <c r="D25" s="458"/>
      <c r="E25" s="458"/>
      <c r="F25" s="776"/>
      <c r="G25" s="776"/>
      <c r="H25" s="776"/>
      <c r="I25" s="111"/>
    </row>
    <row r="26" spans="1:9" ht="18" customHeight="1" x14ac:dyDescent="0.3">
      <c r="A26" s="221" t="s">
        <v>119</v>
      </c>
      <c r="B26" s="380">
        <f t="shared" ref="B26:H26" si="0">SUM(B4:B25)</f>
        <v>11350</v>
      </c>
      <c r="C26" s="380">
        <f t="shared" si="0"/>
        <v>23300</v>
      </c>
      <c r="D26" s="380">
        <f t="shared" si="0"/>
        <v>20000</v>
      </c>
      <c r="E26" s="380">
        <f t="shared" si="0"/>
        <v>25095</v>
      </c>
      <c r="F26" s="777">
        <f t="shared" si="0"/>
        <v>17800</v>
      </c>
      <c r="G26" s="777">
        <f t="shared" ref="G26" si="1">SUM(G4:G25)</f>
        <v>16500</v>
      </c>
      <c r="H26" s="777">
        <f t="shared" si="0"/>
        <v>28477</v>
      </c>
      <c r="I26" s="111"/>
    </row>
    <row r="27" spans="1:9" ht="18" customHeight="1" x14ac:dyDescent="0.3"/>
    <row r="28" spans="1:9" ht="18" customHeight="1" x14ac:dyDescent="0.3">
      <c r="A28" s="27"/>
      <c r="B28" s="27"/>
    </row>
    <row r="29" spans="1:9" ht="18" customHeight="1" x14ac:dyDescent="0.3">
      <c r="A29" s="27"/>
      <c r="B29" s="27"/>
    </row>
    <row r="30" spans="1:9" s="46" customFormat="1" ht="20.2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</row>
    <row r="31" spans="1:9" ht="18.75" customHeight="1" x14ac:dyDescent="0.3">
      <c r="A31" s="27"/>
      <c r="B31" s="27"/>
    </row>
    <row r="32" spans="1:9" ht="18.75" customHeight="1" x14ac:dyDescent="0.3">
      <c r="A32" s="27"/>
      <c r="B32" s="27"/>
    </row>
    <row r="33" spans="1:2" ht="18.75" customHeight="1" x14ac:dyDescent="0.3">
      <c r="A33" s="27"/>
      <c r="B33" s="27"/>
    </row>
    <row r="34" spans="1:2" ht="18" customHeight="1" x14ac:dyDescent="0.3">
      <c r="A34" s="27"/>
      <c r="B34" s="27"/>
    </row>
    <row r="35" spans="1:2" ht="18" customHeight="1" x14ac:dyDescent="0.3">
      <c r="A35" s="27"/>
      <c r="B35" s="27"/>
    </row>
    <row r="36" spans="1:2" ht="18" customHeight="1" x14ac:dyDescent="0.3">
      <c r="A36" s="27"/>
      <c r="B36" s="27"/>
    </row>
    <row r="37" spans="1:2" ht="18" customHeight="1" x14ac:dyDescent="0.3">
      <c r="A37" s="27"/>
      <c r="B37" s="27"/>
    </row>
    <row r="38" spans="1:2" ht="18" customHeight="1" x14ac:dyDescent="0.3">
      <c r="A38" s="27"/>
      <c r="B38" s="27"/>
    </row>
    <row r="39" spans="1:2" ht="18" customHeight="1" x14ac:dyDescent="0.3">
      <c r="A39" s="27"/>
      <c r="B39" s="27"/>
    </row>
    <row r="40" spans="1:2" ht="18" customHeight="1" x14ac:dyDescent="0.3">
      <c r="A40" s="27"/>
      <c r="B40" s="27"/>
    </row>
    <row r="41" spans="1:2" ht="18" customHeight="1" x14ac:dyDescent="0.3">
      <c r="A41" s="27"/>
      <c r="B41" s="27"/>
    </row>
    <row r="42" spans="1:2" ht="18" customHeight="1" x14ac:dyDescent="0.3">
      <c r="A42" s="27"/>
      <c r="B42" s="27"/>
    </row>
    <row r="43" spans="1:2" ht="18" customHeight="1" x14ac:dyDescent="0.3">
      <c r="A43" s="27"/>
      <c r="B43" s="27"/>
    </row>
    <row r="44" spans="1:2" ht="18" customHeight="1" x14ac:dyDescent="0.3">
      <c r="A44" s="27"/>
      <c r="B44" s="27"/>
    </row>
    <row r="45" spans="1:2" ht="18" customHeight="1" x14ac:dyDescent="0.3">
      <c r="A45" s="27"/>
      <c r="B45" s="27"/>
    </row>
    <row r="46" spans="1:2" ht="18" customHeight="1" x14ac:dyDescent="0.3">
      <c r="A46" s="27"/>
      <c r="B46" s="27"/>
    </row>
    <row r="47" spans="1:2" ht="18" customHeight="1" x14ac:dyDescent="0.3">
      <c r="A47" s="27"/>
      <c r="B47" s="27"/>
    </row>
    <row r="48" spans="1:2" ht="18" customHeight="1" x14ac:dyDescent="0.3">
      <c r="A48" s="27"/>
      <c r="B48" s="27"/>
    </row>
    <row r="49" spans="1:2" ht="18" customHeight="1" x14ac:dyDescent="0.3">
      <c r="A49" s="27"/>
      <c r="B49" s="27"/>
    </row>
    <row r="50" spans="1:2" ht="18" customHeight="1" x14ac:dyDescent="0.3">
      <c r="A50" s="27"/>
      <c r="B50" s="27"/>
    </row>
    <row r="51" spans="1:2" ht="18" customHeight="1" x14ac:dyDescent="0.3">
      <c r="A51" s="27"/>
      <c r="B51" s="27"/>
    </row>
    <row r="52" spans="1:2" ht="18" customHeight="1" x14ac:dyDescent="0.3">
      <c r="A52" s="27"/>
      <c r="B52" s="27"/>
    </row>
    <row r="53" spans="1:2" ht="18" customHeight="1" x14ac:dyDescent="0.3">
      <c r="A53" s="27"/>
      <c r="B53" s="27"/>
    </row>
    <row r="54" spans="1:2" ht="18" customHeight="1" x14ac:dyDescent="0.3">
      <c r="A54" s="27"/>
      <c r="B54" s="27"/>
    </row>
    <row r="55" spans="1:2" ht="18" customHeight="1" x14ac:dyDescent="0.3">
      <c r="A55" s="27"/>
      <c r="B55" s="27"/>
    </row>
    <row r="56" spans="1:2" ht="18" customHeight="1" x14ac:dyDescent="0.3">
      <c r="A56" s="27"/>
      <c r="B56" s="27"/>
    </row>
    <row r="57" spans="1:2" ht="18" customHeight="1" x14ac:dyDescent="0.3">
      <c r="A57" s="27"/>
      <c r="B57" s="27"/>
    </row>
    <row r="58" spans="1:2" ht="18" customHeight="1" x14ac:dyDescent="0.3">
      <c r="A58" s="27"/>
      <c r="B58" s="27"/>
    </row>
    <row r="59" spans="1:2" ht="18" customHeight="1" x14ac:dyDescent="0.3">
      <c r="A59" s="27"/>
      <c r="B59" s="27"/>
    </row>
    <row r="60" spans="1:2" ht="18" customHeight="1" x14ac:dyDescent="0.3">
      <c r="A60" s="27"/>
      <c r="B60" s="27"/>
    </row>
    <row r="61" spans="1:2" ht="18" customHeight="1" x14ac:dyDescent="0.3">
      <c r="A61" s="27"/>
      <c r="B61" s="27"/>
    </row>
    <row r="62" spans="1:2" ht="18" customHeight="1" x14ac:dyDescent="0.3">
      <c r="A62" s="27"/>
      <c r="B62" s="27"/>
    </row>
    <row r="63" spans="1:2" ht="18" customHeight="1" x14ac:dyDescent="0.3">
      <c r="A63" s="27"/>
      <c r="B63" s="27"/>
    </row>
    <row r="64" spans="1:2" ht="18" customHeight="1" x14ac:dyDescent="0.3">
      <c r="A64" s="27"/>
      <c r="B64" s="27"/>
    </row>
    <row r="65" spans="1:2" ht="18" customHeight="1" x14ac:dyDescent="0.3">
      <c r="A65" s="27"/>
      <c r="B65" s="27"/>
    </row>
    <row r="66" spans="1:2" ht="18" customHeight="1" x14ac:dyDescent="0.3">
      <c r="A66" s="27"/>
      <c r="B66" s="27"/>
    </row>
    <row r="67" spans="1:2" ht="18" customHeight="1" x14ac:dyDescent="0.3">
      <c r="A67" s="27"/>
      <c r="B67" s="27"/>
    </row>
    <row r="68" spans="1:2" ht="18" customHeight="1" x14ac:dyDescent="0.3">
      <c r="A68" s="27"/>
      <c r="B68" s="27"/>
    </row>
    <row r="69" spans="1:2" ht="18" customHeight="1" x14ac:dyDescent="0.3">
      <c r="A69" s="27"/>
      <c r="B69" s="27"/>
    </row>
    <row r="70" spans="1:2" ht="18.75" customHeight="1" x14ac:dyDescent="0.3">
      <c r="A70" s="27"/>
      <c r="B70" s="27"/>
    </row>
    <row r="71" spans="1:2" ht="18.75" customHeight="1" x14ac:dyDescent="0.3">
      <c r="A71" s="27"/>
      <c r="B71" s="27"/>
    </row>
    <row r="72" spans="1:2" ht="18.75" customHeight="1" x14ac:dyDescent="0.3">
      <c r="A72" s="27"/>
      <c r="B72" s="27"/>
    </row>
    <row r="73" spans="1:2" ht="18.75" customHeight="1" x14ac:dyDescent="0.3">
      <c r="A73" s="27"/>
      <c r="B73" s="27"/>
    </row>
    <row r="74" spans="1:2" ht="18.75" customHeight="1" x14ac:dyDescent="0.3">
      <c r="A74" s="27"/>
      <c r="B74" s="27"/>
    </row>
    <row r="75" spans="1:2" ht="18.75" customHeight="1" x14ac:dyDescent="0.3">
      <c r="A75" s="27"/>
      <c r="B75" s="27"/>
    </row>
    <row r="76" spans="1:2" ht="18.75" customHeight="1" x14ac:dyDescent="0.3">
      <c r="A76" s="27"/>
      <c r="B76" s="27"/>
    </row>
    <row r="77" spans="1:2" ht="18.75" customHeight="1" x14ac:dyDescent="0.3">
      <c r="A77" s="27"/>
      <c r="B77" s="27"/>
    </row>
    <row r="78" spans="1:2" ht="18.75" customHeight="1" x14ac:dyDescent="0.3">
      <c r="A78" s="27"/>
      <c r="B78" s="27"/>
    </row>
    <row r="79" spans="1:2" ht="18.75" customHeight="1" x14ac:dyDescent="0.3">
      <c r="A79" s="27"/>
      <c r="B79" s="27"/>
    </row>
    <row r="80" spans="1:2" ht="18.75" customHeight="1" x14ac:dyDescent="0.3">
      <c r="A80" s="27"/>
      <c r="B80" s="27"/>
    </row>
    <row r="81" spans="1:2" ht="18.75" customHeight="1" x14ac:dyDescent="0.3">
      <c r="A81" s="27"/>
      <c r="B81" s="27"/>
    </row>
    <row r="82" spans="1:2" ht="18.75" customHeight="1" x14ac:dyDescent="0.3">
      <c r="A82" s="27"/>
      <c r="B82" s="27"/>
    </row>
    <row r="83" spans="1:2" ht="18.75" customHeight="1" x14ac:dyDescent="0.3">
      <c r="A83" s="27"/>
      <c r="B83" s="27"/>
    </row>
    <row r="84" spans="1:2" ht="18.75" customHeight="1" x14ac:dyDescent="0.3">
      <c r="A84" s="27"/>
      <c r="B84" s="27"/>
    </row>
    <row r="85" spans="1:2" ht="18.75" customHeight="1" x14ac:dyDescent="0.3">
      <c r="A85" s="27"/>
      <c r="B85" s="27"/>
    </row>
    <row r="86" spans="1:2" ht="18.75" customHeight="1" x14ac:dyDescent="0.3">
      <c r="A86" s="27"/>
      <c r="B86" s="27"/>
    </row>
    <row r="87" spans="1:2" ht="18.75" customHeight="1" x14ac:dyDescent="0.3">
      <c r="A87" s="27"/>
      <c r="B87" s="27"/>
    </row>
    <row r="88" spans="1:2" ht="18.75" customHeight="1" x14ac:dyDescent="0.3">
      <c r="A88" s="27"/>
      <c r="B88" s="27"/>
    </row>
    <row r="89" spans="1:2" ht="18.75" customHeight="1" x14ac:dyDescent="0.3">
      <c r="A89" s="27"/>
      <c r="B89" s="27"/>
    </row>
    <row r="90" spans="1:2" ht="18.75" customHeight="1" x14ac:dyDescent="0.3">
      <c r="A90" s="27"/>
      <c r="B90" s="27"/>
    </row>
    <row r="91" spans="1:2" ht="18.75" customHeight="1" x14ac:dyDescent="0.3">
      <c r="A91" s="27"/>
      <c r="B91" s="27"/>
    </row>
    <row r="92" spans="1:2" ht="18.75" customHeight="1" x14ac:dyDescent="0.3">
      <c r="A92" s="27"/>
      <c r="B92" s="27"/>
    </row>
    <row r="93" spans="1:2" ht="18.75" customHeight="1" x14ac:dyDescent="0.3">
      <c r="A93" s="27"/>
      <c r="B93" s="27"/>
    </row>
    <row r="94" spans="1:2" ht="18.75" customHeight="1" x14ac:dyDescent="0.3">
      <c r="A94" s="27"/>
      <c r="B94" s="27"/>
    </row>
    <row r="95" spans="1:2" ht="18.75" customHeight="1" x14ac:dyDescent="0.3">
      <c r="A95" s="27"/>
      <c r="B95" s="27"/>
    </row>
    <row r="96" spans="1:2" ht="18.75" customHeight="1" x14ac:dyDescent="0.3">
      <c r="A96" s="27"/>
      <c r="B96" s="27"/>
    </row>
    <row r="97" spans="1:2" ht="18.75" customHeight="1" x14ac:dyDescent="0.3">
      <c r="A97" s="27"/>
      <c r="B97" s="27"/>
    </row>
    <row r="98" spans="1:2" ht="18.75" customHeight="1" x14ac:dyDescent="0.3">
      <c r="A98" s="27"/>
      <c r="B98" s="27"/>
    </row>
    <row r="99" spans="1:2" ht="18.75" customHeight="1" x14ac:dyDescent="0.3">
      <c r="A99" s="27"/>
      <c r="B99" s="27"/>
    </row>
    <row r="100" spans="1:2" ht="18.75" customHeight="1" x14ac:dyDescent="0.3">
      <c r="A100" s="27"/>
      <c r="B100" s="27"/>
    </row>
    <row r="101" spans="1:2" ht="18.75" customHeight="1" x14ac:dyDescent="0.3">
      <c r="A101" s="27"/>
      <c r="B101" s="27"/>
    </row>
    <row r="102" spans="1:2" ht="18.75" customHeight="1" x14ac:dyDescent="0.3">
      <c r="A102" s="27"/>
      <c r="B102" s="27"/>
    </row>
    <row r="103" spans="1:2" ht="18.75" customHeight="1" x14ac:dyDescent="0.3">
      <c r="A103" s="27"/>
      <c r="B103" s="27"/>
    </row>
    <row r="104" spans="1:2" ht="18.75" customHeight="1" x14ac:dyDescent="0.3">
      <c r="A104" s="27"/>
      <c r="B104" s="27"/>
    </row>
    <row r="105" spans="1:2" ht="18.75" customHeight="1" x14ac:dyDescent="0.3">
      <c r="A105" s="27"/>
      <c r="B105" s="27"/>
    </row>
    <row r="106" spans="1:2" ht="18.75" customHeight="1" x14ac:dyDescent="0.3">
      <c r="A106" s="27"/>
      <c r="B106" s="27"/>
    </row>
    <row r="107" spans="1:2" ht="18.75" customHeight="1" x14ac:dyDescent="0.3">
      <c r="A107" s="27"/>
      <c r="B107" s="27"/>
    </row>
    <row r="108" spans="1:2" ht="18.75" customHeight="1" x14ac:dyDescent="0.3">
      <c r="A108" s="27"/>
      <c r="B108" s="27"/>
    </row>
    <row r="109" spans="1:2" ht="18.75" customHeight="1" x14ac:dyDescent="0.3">
      <c r="A109" s="27"/>
      <c r="B109" s="27"/>
    </row>
    <row r="110" spans="1:2" ht="18.75" customHeight="1" x14ac:dyDescent="0.3">
      <c r="A110" s="27"/>
      <c r="B110" s="27"/>
    </row>
    <row r="111" spans="1:2" ht="18.75" customHeight="1" x14ac:dyDescent="0.3">
      <c r="A111" s="27"/>
      <c r="B111" s="27"/>
    </row>
  </sheetData>
  <sortState ref="A5:E26">
    <sortCondition ref="A5"/>
  </sortState>
  <phoneticPr fontId="19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16"/>
  <sheetViews>
    <sheetView workbookViewId="0"/>
  </sheetViews>
  <sheetFormatPr defaultRowHeight="18.75" customHeight="1" x14ac:dyDescent="0.2"/>
  <cols>
    <col min="1" max="1" width="33.42578125" style="14" customWidth="1"/>
    <col min="2" max="2" width="10.7109375" style="15" hidden="1" customWidth="1"/>
    <col min="3" max="5" width="10.7109375" style="96" hidden="1" customWidth="1"/>
    <col min="6" max="8" width="10.7109375" style="96" customWidth="1"/>
    <col min="9" max="16384" width="9.140625" style="96"/>
  </cols>
  <sheetData>
    <row r="1" spans="1:8" s="182" customFormat="1" ht="22.5" customHeight="1" x14ac:dyDescent="0.3">
      <c r="A1" s="216" t="s">
        <v>571</v>
      </c>
      <c r="B1" s="203"/>
      <c r="C1" s="190"/>
      <c r="D1" s="190"/>
      <c r="E1" s="190"/>
      <c r="F1" s="190"/>
      <c r="G1" s="190"/>
      <c r="H1" s="190"/>
    </row>
    <row r="2" spans="1:8" ht="18.75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s="182" customFormat="1" ht="18.75" customHeight="1" x14ac:dyDescent="0.3">
      <c r="A3" s="104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83" customFormat="1" ht="18.75" customHeight="1" x14ac:dyDescent="0.3">
      <c r="A4" s="54"/>
      <c r="B4" s="101"/>
      <c r="C4" s="101"/>
      <c r="D4" s="101"/>
      <c r="E4" s="101"/>
      <c r="F4" s="722"/>
      <c r="G4" s="722"/>
      <c r="H4" s="722"/>
    </row>
    <row r="5" spans="1:8" ht="18.75" customHeight="1" x14ac:dyDescent="0.3">
      <c r="A5" s="54" t="s">
        <v>255</v>
      </c>
      <c r="B5" s="42">
        <v>50</v>
      </c>
      <c r="C5" s="42">
        <v>50</v>
      </c>
      <c r="D5" s="42">
        <v>50</v>
      </c>
      <c r="E5" s="42">
        <v>50</v>
      </c>
      <c r="F5" s="686">
        <v>40</v>
      </c>
      <c r="G5" s="686">
        <v>40</v>
      </c>
      <c r="H5" s="686">
        <v>40</v>
      </c>
    </row>
    <row r="6" spans="1:8" ht="18.75" hidden="1" customHeight="1" x14ac:dyDescent="0.3">
      <c r="A6" s="54" t="s">
        <v>254</v>
      </c>
      <c r="B6" s="42">
        <v>1000</v>
      </c>
      <c r="C6" s="42"/>
      <c r="D6" s="551">
        <v>1800</v>
      </c>
      <c r="E6" s="551" t="s">
        <v>595</v>
      </c>
      <c r="F6" s="685" t="s">
        <v>595</v>
      </c>
      <c r="G6" s="685" t="s">
        <v>595</v>
      </c>
      <c r="H6" s="685" t="s">
        <v>595</v>
      </c>
    </row>
    <row r="7" spans="1:8" ht="18.75" customHeight="1" x14ac:dyDescent="0.3">
      <c r="A7" s="54" t="s">
        <v>258</v>
      </c>
      <c r="B7" s="42">
        <v>40</v>
      </c>
      <c r="C7" s="42">
        <v>50</v>
      </c>
      <c r="D7" s="42">
        <v>50</v>
      </c>
      <c r="E7" s="42">
        <v>50</v>
      </c>
      <c r="F7" s="686">
        <v>75</v>
      </c>
      <c r="G7" s="686">
        <v>75</v>
      </c>
      <c r="H7" s="686">
        <v>200</v>
      </c>
    </row>
    <row r="8" spans="1:8" ht="18.75" customHeight="1" x14ac:dyDescent="0.3">
      <c r="A8" s="54" t="s">
        <v>256</v>
      </c>
      <c r="B8" s="62">
        <v>10</v>
      </c>
      <c r="C8" s="62">
        <v>10</v>
      </c>
      <c r="D8" s="62">
        <v>10</v>
      </c>
      <c r="E8" s="62">
        <v>10</v>
      </c>
      <c r="F8" s="675">
        <v>10</v>
      </c>
      <c r="G8" s="675">
        <v>10</v>
      </c>
      <c r="H8" s="675">
        <v>10</v>
      </c>
    </row>
    <row r="9" spans="1:8" ht="18.75" customHeight="1" x14ac:dyDescent="0.3">
      <c r="A9" s="54" t="s">
        <v>257</v>
      </c>
      <c r="B9" s="42">
        <v>800</v>
      </c>
      <c r="C9" s="42">
        <v>750</v>
      </c>
      <c r="D9" s="42">
        <v>750</v>
      </c>
      <c r="E9" s="42">
        <v>750</v>
      </c>
      <c r="F9" s="686">
        <v>750</v>
      </c>
      <c r="G9" s="686">
        <v>750</v>
      </c>
      <c r="H9" s="686">
        <v>800</v>
      </c>
    </row>
    <row r="10" spans="1:8" s="182" customFormat="1" ht="18.75" customHeight="1" x14ac:dyDescent="0.3">
      <c r="A10" s="407"/>
      <c r="B10" s="62"/>
      <c r="C10" s="62"/>
      <c r="D10" s="62"/>
      <c r="E10" s="62"/>
      <c r="F10" s="675"/>
      <c r="G10" s="675"/>
      <c r="H10" s="675"/>
    </row>
    <row r="11" spans="1:8" s="182" customFormat="1" ht="18.75" customHeight="1" x14ac:dyDescent="0.3">
      <c r="A11" s="288"/>
      <c r="B11" s="62"/>
      <c r="C11" s="62"/>
      <c r="D11" s="62"/>
      <c r="E11" s="62"/>
      <c r="F11" s="675"/>
      <c r="G11" s="675"/>
      <c r="H11" s="675"/>
    </row>
    <row r="12" spans="1:8" s="182" customFormat="1" ht="18.75" customHeight="1" thickBot="1" x14ac:dyDescent="0.35">
      <c r="A12" s="288"/>
      <c r="B12" s="283">
        <v>-1100</v>
      </c>
      <c r="C12" s="283"/>
      <c r="D12" s="283"/>
      <c r="E12" s="283"/>
      <c r="F12" s="778"/>
      <c r="G12" s="778"/>
      <c r="H12" s="778"/>
    </row>
    <row r="13" spans="1:8" ht="18.75" customHeight="1" thickTop="1" x14ac:dyDescent="0.3">
      <c r="A13" s="113" t="s">
        <v>128</v>
      </c>
      <c r="B13" s="112">
        <f t="shared" ref="B13:H13" si="0">SUM(B4:B12)</f>
        <v>800</v>
      </c>
      <c r="C13" s="112">
        <f t="shared" si="0"/>
        <v>860</v>
      </c>
      <c r="D13" s="112">
        <f t="shared" si="0"/>
        <v>2660</v>
      </c>
      <c r="E13" s="112">
        <f t="shared" si="0"/>
        <v>860</v>
      </c>
      <c r="F13" s="766">
        <f t="shared" si="0"/>
        <v>875</v>
      </c>
      <c r="G13" s="766">
        <f t="shared" ref="G13" si="1">SUM(G4:G12)</f>
        <v>875</v>
      </c>
      <c r="H13" s="766">
        <f t="shared" si="0"/>
        <v>1050</v>
      </c>
    </row>
    <row r="14" spans="1:8" ht="18.75" customHeight="1" x14ac:dyDescent="0.3">
      <c r="A14" s="97"/>
      <c r="B14" s="45"/>
      <c r="C14" s="27"/>
    </row>
    <row r="15" spans="1:8" ht="18.75" customHeight="1" x14ac:dyDescent="0.3">
      <c r="A15" s="17"/>
      <c r="B15" s="45"/>
      <c r="C15" s="27"/>
    </row>
    <row r="16" spans="1:8" ht="18.75" customHeight="1" x14ac:dyDescent="0.3">
      <c r="A16" s="97"/>
      <c r="B16" s="45"/>
      <c r="C16" s="27"/>
    </row>
  </sheetData>
  <sortState ref="A5:E9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/>
  </sheetViews>
  <sheetFormatPr defaultRowHeight="14.25" x14ac:dyDescent="0.2"/>
  <cols>
    <col min="1" max="1" width="33.140625" style="186" bestFit="1" customWidth="1"/>
    <col min="2" max="5" width="11.7109375" style="186" hidden="1" customWidth="1"/>
    <col min="6" max="8" width="11.7109375" style="186" customWidth="1"/>
    <col min="9" max="16384" width="9.140625" style="186"/>
  </cols>
  <sheetData>
    <row r="1" spans="1:8" ht="21" customHeight="1" x14ac:dyDescent="0.3">
      <c r="A1" s="578" t="s">
        <v>545</v>
      </c>
      <c r="B1" s="190"/>
      <c r="C1" s="190"/>
      <c r="D1" s="190"/>
      <c r="E1" s="190"/>
      <c r="F1" s="190"/>
      <c r="G1" s="190"/>
      <c r="H1" s="190"/>
    </row>
    <row r="2" spans="1:8" ht="16.5" customHeight="1" x14ac:dyDescent="0.3">
      <c r="A2" s="194"/>
      <c r="B2" s="98"/>
      <c r="C2" s="98"/>
      <c r="D2" s="98"/>
      <c r="E2" s="98"/>
      <c r="F2" s="98"/>
      <c r="G2" s="98"/>
      <c r="H2" s="98"/>
    </row>
    <row r="3" spans="1:8" ht="17.25" customHeight="1" x14ac:dyDescent="0.3">
      <c r="A3" s="195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ht="18" customHeight="1" x14ac:dyDescent="0.3">
      <c r="A4" s="194"/>
      <c r="B4" s="101"/>
      <c r="C4" s="887"/>
      <c r="D4" s="887"/>
      <c r="E4" s="887"/>
      <c r="F4" s="887"/>
      <c r="G4" s="887"/>
      <c r="H4" s="887"/>
    </row>
    <row r="5" spans="1:8" ht="16.5" x14ac:dyDescent="0.3">
      <c r="A5" s="196" t="s">
        <v>24</v>
      </c>
      <c r="B5" s="42">
        <v>28381.3</v>
      </c>
      <c r="C5" s="888">
        <v>32891.56</v>
      </c>
      <c r="D5" s="888">
        <f>REVENUE!E7*0.02</f>
        <v>33713.840000000004</v>
      </c>
      <c r="E5" s="888">
        <f>REVENUE!F7*0.02</f>
        <v>43741.98</v>
      </c>
      <c r="F5" s="889">
        <f>REVENUE!G7*0.02</f>
        <v>47827.66</v>
      </c>
      <c r="G5" s="890">
        <f>REVENUE!H7*0.02</f>
        <v>49740.766400000008</v>
      </c>
      <c r="H5" s="890">
        <f>REVENUE!I7*0.02</f>
        <v>51979.100888000001</v>
      </c>
    </row>
    <row r="6" spans="1:8" ht="16.5" x14ac:dyDescent="0.3">
      <c r="A6" s="196" t="s">
        <v>493</v>
      </c>
      <c r="B6" s="42">
        <v>200</v>
      </c>
      <c r="C6" s="888">
        <v>200</v>
      </c>
      <c r="D6" s="888">
        <v>50</v>
      </c>
      <c r="E6" s="888">
        <v>25</v>
      </c>
      <c r="F6" s="889"/>
      <c r="G6" s="890"/>
      <c r="H6" s="890"/>
    </row>
    <row r="7" spans="1:8" ht="16.5" hidden="1" x14ac:dyDescent="0.3">
      <c r="A7" s="196" t="s">
        <v>43</v>
      </c>
      <c r="B7" s="62">
        <v>12000</v>
      </c>
      <c r="C7" s="450">
        <v>0</v>
      </c>
      <c r="D7" s="450"/>
      <c r="E7" s="450"/>
      <c r="F7" s="746"/>
      <c r="G7" s="749"/>
      <c r="H7" s="749"/>
    </row>
    <row r="8" spans="1:8" ht="16.5" x14ac:dyDescent="0.3">
      <c r="A8" s="441"/>
      <c r="B8" s="62"/>
      <c r="C8" s="450"/>
      <c r="D8" s="450"/>
      <c r="E8" s="450"/>
      <c r="F8" s="746"/>
      <c r="G8" s="749"/>
      <c r="H8" s="749"/>
    </row>
    <row r="9" spans="1:8" ht="16.5" x14ac:dyDescent="0.3">
      <c r="A9" s="441"/>
      <c r="B9" s="62"/>
      <c r="C9" s="450"/>
      <c r="D9" s="450"/>
      <c r="E9" s="450"/>
      <c r="F9" s="746"/>
      <c r="G9" s="749"/>
      <c r="H9" s="749"/>
    </row>
    <row r="10" spans="1:8" ht="16.5" x14ac:dyDescent="0.3">
      <c r="A10" s="497"/>
      <c r="B10" s="107"/>
      <c r="C10" s="451"/>
      <c r="D10" s="451"/>
      <c r="E10" s="451"/>
      <c r="F10" s="744"/>
      <c r="G10" s="745"/>
      <c r="H10" s="745"/>
    </row>
    <row r="11" spans="1:8" ht="16.5" x14ac:dyDescent="0.3">
      <c r="A11" s="446"/>
      <c r="B11" s="454">
        <v>3041.01</v>
      </c>
      <c r="C11" s="891"/>
      <c r="D11" s="891"/>
      <c r="E11" s="891"/>
      <c r="F11" s="892"/>
      <c r="G11" s="893"/>
      <c r="H11" s="893"/>
    </row>
    <row r="12" spans="1:8" ht="16.5" x14ac:dyDescent="0.3">
      <c r="A12" s="445" t="s">
        <v>158</v>
      </c>
      <c r="B12" s="894">
        <f>SUM(B4:B10)</f>
        <v>40581.300000000003</v>
      </c>
      <c r="C12" s="894">
        <f>SUM(C4:C10)</f>
        <v>33091.56</v>
      </c>
      <c r="D12" s="894">
        <f>SUM(D4:D11)</f>
        <v>33763.840000000004</v>
      </c>
      <c r="E12" s="894">
        <f>SUM(E4:E10)</f>
        <v>43766.98</v>
      </c>
      <c r="F12" s="895">
        <f>SUM(F4:F10)</f>
        <v>47827.66</v>
      </c>
      <c r="G12" s="895">
        <f>SUM(G4:G10)</f>
        <v>49740.766400000008</v>
      </c>
      <c r="H12" s="895">
        <f>SUM(H4:H10)</f>
        <v>51979.100888000001</v>
      </c>
    </row>
    <row r="13" spans="1:8" ht="16.5" x14ac:dyDescent="0.3">
      <c r="A13" s="199"/>
      <c r="B13" s="111"/>
    </row>
    <row r="14" spans="1:8" ht="16.5" x14ac:dyDescent="0.3">
      <c r="A14" s="111"/>
      <c r="B14" s="111"/>
    </row>
    <row r="15" spans="1:8" ht="16.5" x14ac:dyDescent="0.3">
      <c r="A15" s="111"/>
      <c r="B15" s="111"/>
    </row>
    <row r="17" spans="1:1" ht="16.5" x14ac:dyDescent="0.3">
      <c r="A17" s="284" t="s">
        <v>355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R54"/>
  <sheetViews>
    <sheetView workbookViewId="0"/>
  </sheetViews>
  <sheetFormatPr defaultRowHeight="18.75" customHeight="1" x14ac:dyDescent="0.2"/>
  <cols>
    <col min="1" max="1" width="34.140625" style="3" customWidth="1"/>
    <col min="2" max="2" width="10.7109375" style="4" hidden="1" customWidth="1"/>
    <col min="3" max="5" width="10.7109375" style="1" hidden="1" customWidth="1"/>
    <col min="6" max="8" width="10.7109375" style="1" customWidth="1"/>
    <col min="9" max="16384" width="9.140625" style="1"/>
  </cols>
  <sheetData>
    <row r="1" spans="1:18" s="2" customFormat="1" ht="24" customHeight="1" x14ac:dyDescent="0.25">
      <c r="A1" s="260" t="s">
        <v>572</v>
      </c>
      <c r="B1" s="94"/>
      <c r="C1" s="91"/>
      <c r="D1" s="91"/>
      <c r="E1" s="91"/>
      <c r="F1" s="91"/>
      <c r="G1" s="91"/>
      <c r="H1" s="91"/>
      <c r="I1"/>
      <c r="J1"/>
      <c r="K1"/>
      <c r="L1"/>
      <c r="M1"/>
      <c r="N1"/>
      <c r="O1"/>
      <c r="P1"/>
      <c r="Q1"/>
      <c r="R1"/>
    </row>
    <row r="2" spans="1:18" ht="18.75" customHeight="1" x14ac:dyDescent="0.25">
      <c r="A2" s="51"/>
      <c r="B2" s="33"/>
      <c r="C2" s="51"/>
      <c r="D2" s="51"/>
      <c r="E2" s="51"/>
      <c r="F2" s="51"/>
      <c r="G2" s="51"/>
      <c r="H2" s="51"/>
      <c r="I2"/>
      <c r="J2"/>
      <c r="K2"/>
      <c r="L2"/>
      <c r="M2"/>
      <c r="N2"/>
      <c r="O2"/>
      <c r="P2"/>
      <c r="Q2"/>
      <c r="R2"/>
    </row>
    <row r="3" spans="1:18" s="2" customFormat="1" ht="18.75" customHeight="1" x14ac:dyDescent="0.3">
      <c r="A3" s="41" t="s">
        <v>130</v>
      </c>
      <c r="B3" s="109">
        <v>2010</v>
      </c>
      <c r="C3" s="109">
        <v>2013</v>
      </c>
      <c r="D3" s="109">
        <v>2014</v>
      </c>
      <c r="E3" s="109">
        <v>2015</v>
      </c>
      <c r="F3" s="109">
        <v>2016</v>
      </c>
      <c r="G3" s="109">
        <v>2017</v>
      </c>
      <c r="H3" s="109">
        <v>2018</v>
      </c>
      <c r="I3"/>
      <c r="J3"/>
      <c r="K3"/>
      <c r="L3"/>
      <c r="M3"/>
      <c r="N3"/>
      <c r="O3"/>
      <c r="P3"/>
      <c r="Q3"/>
      <c r="R3"/>
    </row>
    <row r="4" spans="1:18" s="6" customFormat="1" ht="18.75" customHeight="1" x14ac:dyDescent="0.3">
      <c r="A4" s="101"/>
      <c r="B4" s="292"/>
      <c r="C4" s="292"/>
      <c r="D4" s="292"/>
      <c r="E4" s="292"/>
      <c r="F4" s="779"/>
      <c r="G4" s="779"/>
      <c r="H4" s="779"/>
      <c r="I4"/>
      <c r="J4"/>
      <c r="K4"/>
      <c r="L4"/>
      <c r="M4"/>
      <c r="N4"/>
      <c r="O4"/>
      <c r="P4"/>
      <c r="Q4"/>
      <c r="R4"/>
    </row>
    <row r="5" spans="1:18" s="2" customFormat="1" ht="24.95" customHeight="1" x14ac:dyDescent="0.3">
      <c r="A5" s="54" t="s">
        <v>131</v>
      </c>
      <c r="B5" s="109"/>
      <c r="C5" s="109"/>
      <c r="D5" s="109"/>
      <c r="E5" s="109"/>
      <c r="F5" s="752"/>
      <c r="G5" s="752"/>
      <c r="H5" s="752"/>
      <c r="I5" s="353"/>
      <c r="J5"/>
      <c r="K5"/>
      <c r="L5"/>
      <c r="M5"/>
      <c r="N5"/>
      <c r="O5"/>
      <c r="P5"/>
      <c r="Q5"/>
      <c r="R5"/>
    </row>
    <row r="6" spans="1:18" ht="24.95" customHeight="1" thickBot="1" x14ac:dyDescent="0.35">
      <c r="A6" s="66" t="s">
        <v>497</v>
      </c>
      <c r="B6" s="293">
        <v>325</v>
      </c>
      <c r="C6" s="293">
        <v>325</v>
      </c>
      <c r="D6" s="293">
        <v>1091</v>
      </c>
      <c r="E6" s="293">
        <f>286*4</f>
        <v>1144</v>
      </c>
      <c r="F6" s="688">
        <v>1100</v>
      </c>
      <c r="G6" s="688">
        <v>1100</v>
      </c>
      <c r="H6" s="688">
        <v>1100</v>
      </c>
      <c r="I6" s="352"/>
      <c r="J6"/>
      <c r="K6"/>
      <c r="L6"/>
      <c r="M6"/>
      <c r="N6"/>
      <c r="O6"/>
      <c r="P6"/>
      <c r="Q6"/>
      <c r="R6"/>
    </row>
    <row r="7" spans="1:18" ht="24.95" customHeight="1" x14ac:dyDescent="0.3">
      <c r="A7" s="296" t="s">
        <v>265</v>
      </c>
      <c r="B7" s="297">
        <v>3000</v>
      </c>
      <c r="C7" s="297">
        <v>3500</v>
      </c>
      <c r="D7" s="297">
        <v>3092</v>
      </c>
      <c r="E7" s="297">
        <f>757.5*4</f>
        <v>3030</v>
      </c>
      <c r="F7" s="780">
        <v>3200</v>
      </c>
      <c r="G7" s="780">
        <v>3200</v>
      </c>
      <c r="H7" s="780">
        <v>3200</v>
      </c>
      <c r="I7" s="352"/>
      <c r="J7"/>
      <c r="K7"/>
      <c r="L7"/>
      <c r="M7"/>
      <c r="N7"/>
      <c r="O7"/>
      <c r="P7"/>
      <c r="Q7"/>
      <c r="R7"/>
    </row>
    <row r="8" spans="1:18" ht="24.95" customHeight="1" thickBot="1" x14ac:dyDescent="0.35">
      <c r="A8" s="290" t="s">
        <v>266</v>
      </c>
      <c r="B8" s="294">
        <v>4000</v>
      </c>
      <c r="C8" s="294">
        <v>4000</v>
      </c>
      <c r="D8" s="294">
        <v>3939</v>
      </c>
      <c r="E8" s="294">
        <f>1070*4</f>
        <v>4280</v>
      </c>
      <c r="F8" s="781">
        <v>5000</v>
      </c>
      <c r="G8" s="781">
        <v>5000</v>
      </c>
      <c r="H8" s="781">
        <v>5000</v>
      </c>
      <c r="I8" s="352"/>
      <c r="J8"/>
      <c r="K8"/>
      <c r="L8"/>
      <c r="M8"/>
      <c r="N8"/>
      <c r="O8"/>
      <c r="P8"/>
      <c r="Q8"/>
      <c r="R8"/>
    </row>
    <row r="9" spans="1:18" ht="24.95" customHeight="1" x14ac:dyDescent="0.3">
      <c r="A9" s="296" t="s">
        <v>264</v>
      </c>
      <c r="B9" s="297">
        <v>2500</v>
      </c>
      <c r="C9" s="297">
        <v>1500</v>
      </c>
      <c r="D9" s="297">
        <v>1541</v>
      </c>
      <c r="E9" s="297">
        <f>592*4</f>
        <v>2368</v>
      </c>
      <c r="F9" s="780">
        <v>2800</v>
      </c>
      <c r="G9" s="780">
        <v>2800</v>
      </c>
      <c r="H9" s="780">
        <v>3800</v>
      </c>
      <c r="I9" s="352"/>
      <c r="J9"/>
      <c r="K9"/>
      <c r="L9"/>
      <c r="M9"/>
      <c r="N9"/>
      <c r="O9"/>
      <c r="P9"/>
      <c r="Q9"/>
      <c r="R9"/>
    </row>
    <row r="10" spans="1:18" ht="24.95" customHeight="1" thickBot="1" x14ac:dyDescent="0.35">
      <c r="A10" s="290" t="s">
        <v>263</v>
      </c>
      <c r="B10" s="294">
        <v>10000</v>
      </c>
      <c r="C10" s="294">
        <v>10500</v>
      </c>
      <c r="D10" s="294">
        <v>10728</v>
      </c>
      <c r="E10" s="294">
        <f>3385*4</f>
        <v>13540</v>
      </c>
      <c r="F10" s="781">
        <v>15000</v>
      </c>
      <c r="G10" s="781">
        <v>15000</v>
      </c>
      <c r="H10" s="781">
        <v>16000</v>
      </c>
      <c r="I10" s="352"/>
      <c r="J10"/>
      <c r="K10"/>
      <c r="L10"/>
      <c r="M10"/>
      <c r="N10"/>
      <c r="O10"/>
      <c r="P10"/>
      <c r="Q10"/>
      <c r="R10"/>
    </row>
    <row r="11" spans="1:18" ht="24.95" customHeight="1" x14ac:dyDescent="0.3">
      <c r="A11" s="296" t="s">
        <v>260</v>
      </c>
      <c r="B11" s="298">
        <v>4500</v>
      </c>
      <c r="C11" s="298">
        <v>5000</v>
      </c>
      <c r="D11" s="298">
        <v>4945</v>
      </c>
      <c r="E11" s="298">
        <f>1342*4</f>
        <v>5368</v>
      </c>
      <c r="F11" s="782">
        <v>4600</v>
      </c>
      <c r="G11" s="782">
        <v>4600</v>
      </c>
      <c r="H11" s="782">
        <v>4800</v>
      </c>
      <c r="I11" s="352"/>
      <c r="J11"/>
      <c r="K11"/>
      <c r="L11"/>
      <c r="M11"/>
      <c r="N11"/>
      <c r="O11"/>
      <c r="P11"/>
      <c r="Q11"/>
      <c r="R11"/>
    </row>
    <row r="12" spans="1:18" ht="18.75" customHeight="1" x14ac:dyDescent="0.3">
      <c r="A12" s="66" t="s">
        <v>498</v>
      </c>
      <c r="B12" s="245"/>
      <c r="C12" s="426"/>
      <c r="D12" s="197">
        <v>34</v>
      </c>
      <c r="E12" s="197">
        <v>34</v>
      </c>
      <c r="F12" s="676"/>
      <c r="G12" s="676"/>
      <c r="H12" s="676"/>
      <c r="I12"/>
      <c r="J12"/>
      <c r="K12"/>
      <c r="L12"/>
      <c r="M12"/>
      <c r="N12"/>
      <c r="O12"/>
      <c r="P12"/>
      <c r="Q12"/>
      <c r="R12"/>
    </row>
    <row r="13" spans="1:18" ht="18.75" customHeight="1" x14ac:dyDescent="0.3">
      <c r="A13" s="66" t="s">
        <v>618</v>
      </c>
      <c r="B13" s="245"/>
      <c r="C13" s="426"/>
      <c r="D13" s="426"/>
      <c r="E13" s="197"/>
      <c r="F13" s="676">
        <f>950*2</f>
        <v>1900</v>
      </c>
      <c r="G13" s="676">
        <v>1900</v>
      </c>
      <c r="H13" s="676">
        <v>1900</v>
      </c>
      <c r="I13"/>
      <c r="J13"/>
      <c r="K13"/>
      <c r="L13"/>
      <c r="M13"/>
      <c r="N13"/>
      <c r="O13"/>
      <c r="P13"/>
      <c r="Q13"/>
      <c r="R13"/>
    </row>
    <row r="14" spans="1:18" ht="18.75" customHeight="1" x14ac:dyDescent="0.3">
      <c r="A14" s="66"/>
      <c r="B14" s="62"/>
      <c r="C14" s="197"/>
      <c r="D14" s="197"/>
      <c r="E14" s="197"/>
      <c r="F14" s="676"/>
      <c r="G14" s="676"/>
      <c r="H14" s="676"/>
      <c r="I14" s="249"/>
      <c r="J14" s="249"/>
      <c r="K14" s="249"/>
      <c r="L14" s="249"/>
      <c r="M14" s="249"/>
      <c r="N14" s="249"/>
      <c r="O14" s="249"/>
      <c r="P14" s="249"/>
      <c r="Q14" s="249"/>
      <c r="R14" s="249"/>
    </row>
    <row r="15" spans="1:18" ht="18.75" customHeight="1" thickBot="1" x14ac:dyDescent="0.35">
      <c r="A15" s="66" t="s">
        <v>685</v>
      </c>
      <c r="B15" s="283">
        <f>-825-26</f>
        <v>-851</v>
      </c>
      <c r="C15" s="603"/>
      <c r="D15" s="603"/>
      <c r="E15" s="603"/>
      <c r="F15" s="783"/>
      <c r="G15" s="783"/>
      <c r="H15" s="783">
        <f>G15*1.1</f>
        <v>0</v>
      </c>
      <c r="I15" s="249"/>
      <c r="J15" s="249"/>
      <c r="K15" s="249"/>
      <c r="L15" s="249"/>
      <c r="M15" s="249"/>
      <c r="N15" s="249"/>
      <c r="O15" s="249"/>
      <c r="P15" s="249"/>
      <c r="Q15" s="249"/>
      <c r="R15" s="249"/>
    </row>
    <row r="16" spans="1:18" ht="18.75" customHeight="1" thickTop="1" x14ac:dyDescent="0.3">
      <c r="A16" s="113" t="s">
        <v>128</v>
      </c>
      <c r="B16" s="44">
        <f>SUM(B4:B15)</f>
        <v>23474</v>
      </c>
      <c r="C16" s="44">
        <f>SUM(C4:C15)</f>
        <v>24825</v>
      </c>
      <c r="D16" s="44">
        <f>SUM(D4:D15)</f>
        <v>25370</v>
      </c>
      <c r="E16" s="44">
        <f>SUM(E4:E15)</f>
        <v>29764</v>
      </c>
      <c r="F16" s="689">
        <f>SUM(F6:F15)</f>
        <v>33600</v>
      </c>
      <c r="G16" s="689">
        <f>SUM(G4:G15)</f>
        <v>33600</v>
      </c>
      <c r="H16" s="689">
        <f>SUM(H4:H15)</f>
        <v>35800</v>
      </c>
      <c r="I16"/>
      <c r="J16"/>
      <c r="K16"/>
      <c r="L16"/>
      <c r="M16"/>
      <c r="N16"/>
      <c r="O16"/>
      <c r="P16"/>
      <c r="Q16"/>
      <c r="R16"/>
    </row>
    <row r="17" spans="1:18" ht="18.75" customHeight="1" x14ac:dyDescent="0.3">
      <c r="A17" s="111"/>
      <c r="B17" s="111"/>
      <c r="C17" s="111"/>
      <c r="D17"/>
      <c r="E17" s="295"/>
      <c r="F17" s="295"/>
      <c r="G17" s="295"/>
      <c r="H17" s="295"/>
      <c r="I17"/>
      <c r="J17"/>
      <c r="K17"/>
      <c r="L17"/>
      <c r="M17"/>
      <c r="N17"/>
      <c r="O17"/>
      <c r="P17"/>
      <c r="Q17"/>
      <c r="R17"/>
    </row>
    <row r="18" spans="1:18" ht="18.75" customHeight="1" x14ac:dyDescent="0.25">
      <c r="A18" s="59"/>
      <c r="B18" s="24"/>
      <c r="C18" s="24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8.75" customHeight="1" x14ac:dyDescent="0.2">
      <c r="A19" s="24"/>
      <c r="B19" s="24"/>
      <c r="C19" s="24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8.7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8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8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8.75" customHeight="1" x14ac:dyDescent="0.2">
      <c r="A24"/>
      <c r="B24"/>
      <c r="C24"/>
      <c r="D24"/>
      <c r="E24"/>
      <c r="F24"/>
      <c r="G24"/>
      <c r="H24"/>
    </row>
    <row r="25" spans="1:18" ht="18.75" customHeight="1" x14ac:dyDescent="0.2">
      <c r="A25"/>
      <c r="B25"/>
      <c r="C25"/>
      <c r="D25"/>
      <c r="E25"/>
      <c r="F25"/>
      <c r="G25"/>
      <c r="H25"/>
    </row>
    <row r="26" spans="1:18" ht="18.75" customHeight="1" x14ac:dyDescent="0.2">
      <c r="A26"/>
      <c r="B26"/>
      <c r="C26"/>
      <c r="D26"/>
      <c r="E26"/>
      <c r="F26"/>
      <c r="G26"/>
      <c r="H26"/>
    </row>
    <row r="27" spans="1:18" ht="18.75" customHeight="1" x14ac:dyDescent="0.2">
      <c r="A27"/>
      <c r="B27"/>
      <c r="C27"/>
      <c r="D27"/>
      <c r="E27"/>
      <c r="F27"/>
      <c r="G27"/>
      <c r="H27"/>
    </row>
    <row r="28" spans="1:18" ht="18.75" customHeight="1" x14ac:dyDescent="0.2">
      <c r="A28"/>
      <c r="B28"/>
      <c r="C28"/>
      <c r="D28"/>
      <c r="E28"/>
      <c r="F28"/>
      <c r="G28"/>
      <c r="H28"/>
    </row>
    <row r="29" spans="1:18" ht="18.75" customHeight="1" x14ac:dyDescent="0.2">
      <c r="A29"/>
      <c r="B29"/>
      <c r="C29"/>
      <c r="D29"/>
      <c r="E29"/>
      <c r="F29"/>
      <c r="G29"/>
      <c r="H29"/>
    </row>
    <row r="30" spans="1:18" ht="18.75" customHeight="1" x14ac:dyDescent="0.2">
      <c r="A30"/>
      <c r="B30"/>
      <c r="C30"/>
      <c r="D30"/>
      <c r="E30"/>
      <c r="F30"/>
      <c r="G30"/>
      <c r="H30"/>
    </row>
    <row r="31" spans="1:18" ht="18.75" customHeight="1" x14ac:dyDescent="0.2">
      <c r="A31"/>
      <c r="B31"/>
      <c r="C31"/>
      <c r="D31"/>
      <c r="E31"/>
      <c r="F31"/>
      <c r="G31"/>
      <c r="H31"/>
    </row>
    <row r="32" spans="1:18" ht="18.75" customHeight="1" x14ac:dyDescent="0.2">
      <c r="A32"/>
      <c r="B32"/>
      <c r="C32"/>
      <c r="D32"/>
      <c r="E32"/>
      <c r="F32"/>
      <c r="G32"/>
      <c r="H32"/>
    </row>
    <row r="33" spans="1:8" ht="18.75" customHeight="1" x14ac:dyDescent="0.2">
      <c r="A33"/>
      <c r="B33"/>
      <c r="C33"/>
      <c r="D33"/>
      <c r="E33"/>
      <c r="F33"/>
      <c r="G33"/>
      <c r="H33"/>
    </row>
    <row r="34" spans="1:8" ht="18.75" customHeight="1" x14ac:dyDescent="0.2">
      <c r="A34"/>
      <c r="B34"/>
      <c r="C34"/>
      <c r="D34"/>
      <c r="E34"/>
      <c r="F34"/>
      <c r="G34"/>
      <c r="H34"/>
    </row>
    <row r="35" spans="1:8" ht="18.75" customHeight="1" x14ac:dyDescent="0.2">
      <c r="A35"/>
      <c r="B35"/>
      <c r="C35"/>
      <c r="D35"/>
      <c r="E35"/>
      <c r="F35"/>
      <c r="G35"/>
      <c r="H35"/>
    </row>
    <row r="36" spans="1:8" ht="18.75" customHeight="1" x14ac:dyDescent="0.2">
      <c r="A36"/>
      <c r="B36"/>
      <c r="C36"/>
      <c r="D36"/>
      <c r="E36"/>
      <c r="F36"/>
      <c r="G36"/>
      <c r="H36"/>
    </row>
    <row r="37" spans="1:8" ht="18.75" customHeight="1" x14ac:dyDescent="0.2">
      <c r="A37"/>
      <c r="B37"/>
      <c r="C37"/>
      <c r="D37"/>
      <c r="E37"/>
      <c r="F37"/>
      <c r="G37"/>
      <c r="H37"/>
    </row>
    <row r="38" spans="1:8" ht="18.75" customHeight="1" x14ac:dyDescent="0.2">
      <c r="A38"/>
      <c r="B38"/>
      <c r="C38"/>
      <c r="D38"/>
      <c r="E38"/>
      <c r="F38"/>
      <c r="G38"/>
      <c r="H38"/>
    </row>
    <row r="39" spans="1:8" ht="18.75" customHeight="1" x14ac:dyDescent="0.2">
      <c r="A39"/>
      <c r="B39"/>
      <c r="C39"/>
      <c r="D39"/>
      <c r="E39"/>
      <c r="F39"/>
      <c r="G39"/>
      <c r="H39"/>
    </row>
    <row r="40" spans="1:8" ht="18.75" customHeight="1" x14ac:dyDescent="0.2">
      <c r="A40"/>
      <c r="B40"/>
      <c r="C40"/>
      <c r="D40"/>
      <c r="E40"/>
      <c r="F40"/>
      <c r="G40"/>
      <c r="H40"/>
    </row>
    <row r="41" spans="1:8" ht="18.75" customHeight="1" x14ac:dyDescent="0.2">
      <c r="A41"/>
      <c r="B41"/>
      <c r="C41"/>
      <c r="D41"/>
      <c r="E41"/>
      <c r="F41"/>
      <c r="G41"/>
      <c r="H41"/>
    </row>
    <row r="42" spans="1:8" ht="18.75" customHeight="1" x14ac:dyDescent="0.2">
      <c r="A42"/>
      <c r="B42"/>
      <c r="C42"/>
      <c r="D42"/>
      <c r="E42"/>
      <c r="F42"/>
      <c r="G42"/>
      <c r="H42"/>
    </row>
    <row r="43" spans="1:8" ht="18.75" customHeight="1" x14ac:dyDescent="0.2">
      <c r="A43"/>
      <c r="B43"/>
      <c r="C43"/>
      <c r="D43"/>
      <c r="E43"/>
      <c r="F43"/>
      <c r="G43"/>
      <c r="H43"/>
    </row>
    <row r="44" spans="1:8" ht="18.75" customHeight="1" x14ac:dyDescent="0.2">
      <c r="A44"/>
      <c r="B44"/>
      <c r="C44"/>
      <c r="D44"/>
      <c r="E44"/>
      <c r="F44"/>
      <c r="G44"/>
      <c r="H44"/>
    </row>
    <row r="45" spans="1:8" ht="18.75" customHeight="1" x14ac:dyDescent="0.2">
      <c r="A45"/>
      <c r="B45"/>
      <c r="C45"/>
      <c r="D45"/>
      <c r="E45"/>
      <c r="F45"/>
      <c r="G45"/>
      <c r="H45"/>
    </row>
    <row r="46" spans="1:8" ht="18.75" customHeight="1" x14ac:dyDescent="0.2">
      <c r="A46"/>
      <c r="B46"/>
      <c r="C46"/>
      <c r="D46"/>
      <c r="E46"/>
      <c r="F46"/>
      <c r="G46"/>
      <c r="H46"/>
    </row>
    <row r="47" spans="1:8" ht="18.75" customHeight="1" x14ac:dyDescent="0.2">
      <c r="A47"/>
      <c r="B47"/>
      <c r="C47"/>
      <c r="D47"/>
      <c r="E47"/>
      <c r="F47"/>
      <c r="G47"/>
      <c r="H47"/>
    </row>
    <row r="48" spans="1:8" ht="18.75" customHeight="1" x14ac:dyDescent="0.2">
      <c r="A48"/>
      <c r="B48"/>
      <c r="C48"/>
      <c r="D48"/>
      <c r="E48"/>
      <c r="F48"/>
      <c r="G48"/>
      <c r="H48"/>
    </row>
    <row r="49" spans="1:8" ht="18.75" customHeight="1" x14ac:dyDescent="0.2">
      <c r="A49"/>
      <c r="B49"/>
      <c r="C49"/>
      <c r="D49"/>
      <c r="E49"/>
      <c r="F49"/>
      <c r="G49"/>
      <c r="H49"/>
    </row>
    <row r="50" spans="1:8" ht="18.75" customHeight="1" x14ac:dyDescent="0.2">
      <c r="A50"/>
      <c r="B50"/>
      <c r="C50"/>
      <c r="D50"/>
      <c r="E50"/>
      <c r="F50"/>
      <c r="G50"/>
      <c r="H50"/>
    </row>
    <row r="51" spans="1:8" ht="18.75" customHeight="1" x14ac:dyDescent="0.2">
      <c r="A51"/>
      <c r="B51"/>
      <c r="C51"/>
      <c r="D51"/>
      <c r="E51"/>
      <c r="F51"/>
      <c r="G51"/>
      <c r="H51"/>
    </row>
    <row r="52" spans="1:8" ht="18.75" customHeight="1" x14ac:dyDescent="0.2">
      <c r="A52"/>
      <c r="B52"/>
      <c r="C52"/>
      <c r="D52"/>
      <c r="E52"/>
      <c r="F52"/>
      <c r="G52"/>
      <c r="H52"/>
    </row>
    <row r="53" spans="1:8" ht="18.75" customHeight="1" x14ac:dyDescent="0.2">
      <c r="A53"/>
      <c r="B53"/>
      <c r="C53"/>
      <c r="D53"/>
      <c r="E53"/>
      <c r="F53"/>
      <c r="G53"/>
      <c r="H53"/>
    </row>
    <row r="54" spans="1:8" ht="18.75" customHeight="1" x14ac:dyDescent="0.2">
      <c r="A54"/>
      <c r="B54"/>
      <c r="C54"/>
      <c r="D54"/>
      <c r="E54"/>
      <c r="F54"/>
      <c r="G54"/>
      <c r="H54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29"/>
  <sheetViews>
    <sheetView workbookViewId="0"/>
  </sheetViews>
  <sheetFormatPr defaultRowHeight="18.75" customHeight="1" x14ac:dyDescent="0.2"/>
  <cols>
    <col min="1" max="1" width="33.140625" style="14" customWidth="1"/>
    <col min="2" max="2" width="11.7109375" style="15" hidden="1" customWidth="1"/>
    <col min="3" max="5" width="11.7109375" style="96" hidden="1" customWidth="1"/>
    <col min="6" max="8" width="11.7109375" style="96" customWidth="1"/>
    <col min="9" max="16384" width="9.140625" style="96"/>
  </cols>
  <sheetData>
    <row r="1" spans="1:8" s="182" customFormat="1" ht="18.75" customHeight="1" x14ac:dyDescent="0.3">
      <c r="A1" s="216" t="s">
        <v>573</v>
      </c>
      <c r="B1" s="203"/>
      <c r="C1" s="216"/>
      <c r="D1" s="216"/>
      <c r="E1" s="216"/>
      <c r="F1" s="216"/>
      <c r="G1" s="216"/>
      <c r="H1" s="216"/>
    </row>
    <row r="2" spans="1:8" ht="18.75" customHeight="1" x14ac:dyDescent="0.3">
      <c r="A2" s="41"/>
      <c r="B2" s="239"/>
      <c r="C2" s="41"/>
      <c r="D2" s="41"/>
      <c r="E2" s="41"/>
      <c r="F2" s="41"/>
      <c r="G2" s="41"/>
      <c r="H2" s="41"/>
    </row>
    <row r="3" spans="1:8" s="182" customFormat="1" ht="18.75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83" customFormat="1" ht="18.75" customHeight="1" x14ac:dyDescent="0.3">
      <c r="A4" s="98"/>
      <c r="B4" s="117"/>
      <c r="C4" s="117"/>
      <c r="D4" s="117"/>
      <c r="E4" s="117"/>
      <c r="F4" s="726"/>
      <c r="G4" s="726"/>
      <c r="H4" s="726"/>
    </row>
    <row r="5" spans="1:8" s="182" customFormat="1" ht="18.75" customHeight="1" x14ac:dyDescent="0.3">
      <c r="A5" s="63" t="s">
        <v>222</v>
      </c>
      <c r="B5" s="42">
        <v>500</v>
      </c>
      <c r="C5" s="42">
        <v>1000</v>
      </c>
      <c r="D5" s="42">
        <v>1000</v>
      </c>
      <c r="E5" s="42">
        <v>500</v>
      </c>
      <c r="F5" s="686">
        <v>500</v>
      </c>
      <c r="G5" s="686">
        <v>0</v>
      </c>
      <c r="H5" s="686">
        <v>0</v>
      </c>
    </row>
    <row r="6" spans="1:8" ht="18.75" customHeight="1" x14ac:dyDescent="0.3">
      <c r="A6" s="69" t="s">
        <v>682</v>
      </c>
      <c r="B6" s="42">
        <v>15500</v>
      </c>
      <c r="C6" s="42">
        <v>12000</v>
      </c>
      <c r="D6" s="551">
        <v>12000</v>
      </c>
      <c r="E6" s="551">
        <v>15000</v>
      </c>
      <c r="F6" s="685">
        <v>12000</v>
      </c>
      <c r="G6" s="685">
        <v>12000</v>
      </c>
      <c r="H6" s="685">
        <v>14000</v>
      </c>
    </row>
    <row r="7" spans="1:8" ht="18.75" hidden="1" customHeight="1" x14ac:dyDescent="0.3">
      <c r="A7" s="63" t="s">
        <v>223</v>
      </c>
      <c r="B7" s="42">
        <v>1000</v>
      </c>
      <c r="C7" s="42">
        <v>2000</v>
      </c>
      <c r="D7" s="42">
        <v>4000</v>
      </c>
      <c r="E7" s="551"/>
      <c r="F7" s="685">
        <v>0</v>
      </c>
      <c r="G7" s="685">
        <v>0</v>
      </c>
      <c r="H7" s="685">
        <v>0</v>
      </c>
    </row>
    <row r="8" spans="1:8" ht="18.75" customHeight="1" x14ac:dyDescent="0.3">
      <c r="A8" s="63" t="s">
        <v>733</v>
      </c>
      <c r="B8" s="42">
        <v>10000</v>
      </c>
      <c r="C8" s="42">
        <v>10000</v>
      </c>
      <c r="D8" s="42">
        <v>10000</v>
      </c>
      <c r="E8" s="42">
        <v>9000</v>
      </c>
      <c r="F8" s="686">
        <v>8000</v>
      </c>
      <c r="G8" s="686">
        <v>8000</v>
      </c>
      <c r="H8" s="686">
        <v>8000</v>
      </c>
    </row>
    <row r="9" spans="1:8" ht="18.75" customHeight="1" x14ac:dyDescent="0.3">
      <c r="A9" s="63" t="s">
        <v>344</v>
      </c>
      <c r="B9" s="62">
        <v>20000</v>
      </c>
      <c r="C9" s="62">
        <v>16000</v>
      </c>
      <c r="D9" s="62">
        <f>1000*12</f>
        <v>12000</v>
      </c>
      <c r="E9" s="62">
        <f>1000*12</f>
        <v>12000</v>
      </c>
      <c r="F9" s="675">
        <f>1000*12</f>
        <v>12000</v>
      </c>
      <c r="G9" s="675">
        <f>1000*12</f>
        <v>12000</v>
      </c>
      <c r="H9" s="675">
        <f>1000*12</f>
        <v>12000</v>
      </c>
    </row>
    <row r="10" spans="1:8" ht="18.75" customHeight="1" x14ac:dyDescent="0.3">
      <c r="A10" s="55"/>
      <c r="B10" s="245"/>
      <c r="C10" s="62"/>
      <c r="D10" s="62"/>
      <c r="E10" s="62"/>
      <c r="F10" s="675"/>
      <c r="G10" s="675"/>
      <c r="H10" s="675"/>
    </row>
    <row r="11" spans="1:8" ht="18.75" customHeight="1" x14ac:dyDescent="0.3">
      <c r="A11" s="460"/>
      <c r="B11" s="245"/>
      <c r="C11" s="62"/>
      <c r="D11" s="62"/>
      <c r="E11" s="62"/>
      <c r="F11" s="675"/>
      <c r="G11" s="675"/>
      <c r="H11" s="675"/>
    </row>
    <row r="12" spans="1:8" ht="18.75" customHeight="1" x14ac:dyDescent="0.3">
      <c r="A12" s="460"/>
      <c r="B12" s="62"/>
      <c r="C12" s="62"/>
      <c r="D12" s="62"/>
      <c r="E12" s="62"/>
      <c r="F12" s="675"/>
      <c r="G12" s="675"/>
      <c r="H12" s="675"/>
    </row>
    <row r="13" spans="1:8" ht="18.75" customHeight="1" thickBot="1" x14ac:dyDescent="0.35">
      <c r="A13" s="460"/>
      <c r="B13" s="283">
        <v>-15000</v>
      </c>
      <c r="C13" s="283"/>
      <c r="D13" s="283"/>
      <c r="E13" s="283"/>
      <c r="F13" s="778"/>
      <c r="G13" s="778"/>
      <c r="H13" s="778"/>
    </row>
    <row r="14" spans="1:8" ht="18.75" customHeight="1" thickTop="1" x14ac:dyDescent="0.3">
      <c r="A14" s="103" t="s">
        <v>128</v>
      </c>
      <c r="B14" s="247">
        <f t="shared" ref="B14:H14" si="0">SUM(B4:B13)</f>
        <v>32000</v>
      </c>
      <c r="C14" s="247">
        <f t="shared" si="0"/>
        <v>41000</v>
      </c>
      <c r="D14" s="247">
        <f t="shared" si="0"/>
        <v>39000</v>
      </c>
      <c r="E14" s="247">
        <f t="shared" si="0"/>
        <v>36500</v>
      </c>
      <c r="F14" s="784">
        <f t="shared" si="0"/>
        <v>32500</v>
      </c>
      <c r="G14" s="784">
        <f t="shared" ref="G14" si="1">SUM(G4:G13)</f>
        <v>32000</v>
      </c>
      <c r="H14" s="784">
        <f t="shared" si="0"/>
        <v>34000</v>
      </c>
    </row>
    <row r="15" spans="1:8" ht="18.75" customHeight="1" x14ac:dyDescent="0.3">
      <c r="A15" s="111"/>
      <c r="B15" s="111"/>
      <c r="C15" s="27"/>
      <c r="D15" s="27"/>
    </row>
    <row r="16" spans="1:8" ht="18.75" customHeight="1" x14ac:dyDescent="0.2">
      <c r="A16" s="186"/>
      <c r="B16" s="186"/>
    </row>
    <row r="17" spans="1:2" ht="18.75" customHeight="1" x14ac:dyDescent="0.2">
      <c r="A17" s="186"/>
      <c r="B17" s="186"/>
    </row>
    <row r="18" spans="1:2" ht="18.75" customHeight="1" x14ac:dyDescent="0.2">
      <c r="A18" s="186"/>
      <c r="B18" s="186"/>
    </row>
    <row r="19" spans="1:2" ht="18.75" customHeight="1" x14ac:dyDescent="0.2">
      <c r="A19" s="186"/>
      <c r="B19" s="186"/>
    </row>
    <row r="20" spans="1:2" ht="18.75" customHeight="1" x14ac:dyDescent="0.2">
      <c r="A20" s="186"/>
      <c r="B20" s="186"/>
    </row>
    <row r="21" spans="1:2" ht="18.75" customHeight="1" x14ac:dyDescent="0.2">
      <c r="A21" s="186"/>
      <c r="B21" s="186"/>
    </row>
    <row r="22" spans="1:2" ht="18.75" customHeight="1" x14ac:dyDescent="0.2">
      <c r="A22" s="186"/>
      <c r="B22" s="186"/>
    </row>
    <row r="23" spans="1:2" ht="18.75" customHeight="1" x14ac:dyDescent="0.2">
      <c r="A23" s="186"/>
      <c r="B23" s="186"/>
    </row>
    <row r="24" spans="1:2" ht="18.75" customHeight="1" x14ac:dyDescent="0.2">
      <c r="A24" s="186"/>
      <c r="B24" s="186"/>
    </row>
    <row r="25" spans="1:2" ht="18.75" customHeight="1" x14ac:dyDescent="0.2">
      <c r="A25" s="186"/>
      <c r="B25" s="186"/>
    </row>
    <row r="26" spans="1:2" ht="18.75" customHeight="1" x14ac:dyDescent="0.2">
      <c r="A26" s="186"/>
      <c r="B26" s="186"/>
    </row>
    <row r="27" spans="1:2" ht="18.75" customHeight="1" x14ac:dyDescent="0.2">
      <c r="A27" s="186"/>
      <c r="B27" s="186"/>
    </row>
    <row r="28" spans="1:2" ht="18.75" customHeight="1" x14ac:dyDescent="0.2">
      <c r="A28" s="186"/>
      <c r="B28" s="186"/>
    </row>
    <row r="29" spans="1:2" ht="18.75" customHeight="1" x14ac:dyDescent="0.2">
      <c r="A29" s="186"/>
      <c r="B29" s="186"/>
    </row>
  </sheetData>
  <sortState ref="A6:E10">
    <sortCondition ref="A5"/>
  </sortState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41" style="14" customWidth="1"/>
    <col min="2" max="2" width="10.85546875" style="15" hidden="1" customWidth="1"/>
    <col min="3" max="5" width="10.85546875" style="96" hidden="1" customWidth="1"/>
    <col min="6" max="8" width="10.85546875" style="96" customWidth="1"/>
    <col min="9" max="16384" width="9.140625" style="96"/>
  </cols>
  <sheetData>
    <row r="1" spans="1:8" s="182" customFormat="1" ht="18.75" customHeight="1" x14ac:dyDescent="0.3">
      <c r="A1" s="216" t="s">
        <v>574</v>
      </c>
      <c r="B1" s="203"/>
      <c r="C1" s="190"/>
      <c r="D1" s="190"/>
      <c r="E1" s="190"/>
      <c r="F1" s="190"/>
      <c r="G1" s="190"/>
      <c r="H1" s="190"/>
    </row>
    <row r="2" spans="1:8" ht="18.75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s="182" customFormat="1" ht="18.75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83" customFormat="1" ht="18.75" customHeight="1" x14ac:dyDescent="0.3">
      <c r="A4" s="117"/>
      <c r="B4" s="101"/>
      <c r="C4" s="101"/>
      <c r="D4" s="101"/>
      <c r="E4" s="101"/>
      <c r="F4" s="722"/>
      <c r="G4" s="722"/>
      <c r="H4" s="722"/>
    </row>
    <row r="5" spans="1:8" s="183" customFormat="1" ht="18.75" customHeight="1" x14ac:dyDescent="0.3">
      <c r="A5" s="63"/>
      <c r="B5" s="42"/>
      <c r="C5" s="42"/>
      <c r="D5" s="42"/>
      <c r="E5" s="42"/>
      <c r="F5" s="686"/>
      <c r="G5" s="686"/>
      <c r="H5" s="686"/>
    </row>
    <row r="6" spans="1:8" s="183" customFormat="1" ht="18.75" customHeight="1" x14ac:dyDescent="0.3">
      <c r="A6" s="110" t="s">
        <v>745</v>
      </c>
      <c r="B6" s="42">
        <v>7500</v>
      </c>
      <c r="C6" s="42">
        <v>8000</v>
      </c>
      <c r="D6" s="42">
        <v>8000</v>
      </c>
      <c r="E6" s="42">
        <v>8000</v>
      </c>
      <c r="F6" s="686">
        <v>8600</v>
      </c>
      <c r="G6" s="686">
        <v>7500</v>
      </c>
      <c r="H6" s="686">
        <v>7800</v>
      </c>
    </row>
    <row r="7" spans="1:8" s="183" customFormat="1" ht="18.75" customHeight="1" x14ac:dyDescent="0.3">
      <c r="A7" s="63" t="s">
        <v>521</v>
      </c>
      <c r="B7" s="42">
        <v>100</v>
      </c>
      <c r="C7" s="42">
        <v>100</v>
      </c>
      <c r="D7" s="42">
        <v>125</v>
      </c>
      <c r="E7" s="42">
        <v>130</v>
      </c>
      <c r="F7" s="686">
        <v>150</v>
      </c>
      <c r="G7" s="686">
        <v>0</v>
      </c>
      <c r="H7" s="686">
        <v>0</v>
      </c>
    </row>
    <row r="8" spans="1:8" ht="18.75" customHeight="1" x14ac:dyDescent="0.3">
      <c r="A8" s="69" t="s">
        <v>746</v>
      </c>
      <c r="B8" s="42"/>
      <c r="C8" s="42"/>
      <c r="D8" s="42"/>
      <c r="E8" s="42"/>
      <c r="F8" s="686"/>
      <c r="G8" s="686"/>
      <c r="H8" s="686">
        <v>50000</v>
      </c>
    </row>
    <row r="9" spans="1:8" ht="18.75" customHeight="1" x14ac:dyDescent="0.3">
      <c r="A9" s="55"/>
      <c r="B9" s="462"/>
      <c r="C9" s="245"/>
      <c r="D9" s="245"/>
      <c r="E9" s="245"/>
      <c r="F9" s="785"/>
      <c r="G9" s="785"/>
      <c r="H9" s="785"/>
    </row>
    <row r="10" spans="1:8" ht="18.75" customHeight="1" x14ac:dyDescent="0.3">
      <c r="A10" s="55"/>
      <c r="B10" s="463"/>
      <c r="C10" s="461"/>
      <c r="D10" s="461"/>
      <c r="E10" s="461"/>
      <c r="F10" s="786"/>
      <c r="G10" s="786"/>
      <c r="H10" s="786"/>
    </row>
    <row r="11" spans="1:8" ht="18.75" customHeight="1" x14ac:dyDescent="0.3">
      <c r="A11" s="55"/>
      <c r="B11" s="463"/>
      <c r="C11" s="461"/>
      <c r="D11" s="461"/>
      <c r="E11" s="461"/>
      <c r="F11" s="786"/>
      <c r="G11" s="786"/>
      <c r="H11" s="786"/>
    </row>
    <row r="12" spans="1:8" ht="18.75" customHeight="1" thickBot="1" x14ac:dyDescent="0.35">
      <c r="A12" s="55"/>
      <c r="B12" s="107">
        <v>-7600</v>
      </c>
      <c r="C12" s="107"/>
      <c r="D12" s="107"/>
      <c r="E12" s="107"/>
      <c r="F12" s="765"/>
      <c r="G12" s="765"/>
      <c r="H12" s="765"/>
    </row>
    <row r="13" spans="1:8" s="182" customFormat="1" ht="18.75" customHeight="1" thickTop="1" x14ac:dyDescent="0.3">
      <c r="A13" s="103" t="s">
        <v>128</v>
      </c>
      <c r="B13" s="44">
        <f t="shared" ref="B13:H13" si="0">SUM(B4:B12)</f>
        <v>0</v>
      </c>
      <c r="C13" s="44">
        <f t="shared" si="0"/>
        <v>8100</v>
      </c>
      <c r="D13" s="44">
        <f t="shared" si="0"/>
        <v>8125</v>
      </c>
      <c r="E13" s="44">
        <f t="shared" si="0"/>
        <v>8130</v>
      </c>
      <c r="F13" s="689">
        <f t="shared" si="0"/>
        <v>8750</v>
      </c>
      <c r="G13" s="689">
        <f t="shared" ref="G13" si="1">SUM(G4:G12)</f>
        <v>7500</v>
      </c>
      <c r="H13" s="689">
        <f t="shared" si="0"/>
        <v>57800</v>
      </c>
    </row>
    <row r="14" spans="1:8" ht="18.75" customHeight="1" x14ac:dyDescent="0.3">
      <c r="A14" s="97"/>
      <c r="B14" s="45"/>
      <c r="C14" s="27"/>
    </row>
    <row r="15" spans="1:8" ht="18.75" customHeight="1" x14ac:dyDescent="0.3">
      <c r="A15" s="97"/>
      <c r="B15" s="45"/>
      <c r="C15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14"/>
  <sheetViews>
    <sheetView zoomScaleNormal="100" workbookViewId="0"/>
  </sheetViews>
  <sheetFormatPr defaultRowHeight="18.75" customHeight="1" x14ac:dyDescent="0.3"/>
  <cols>
    <col min="1" max="1" width="41.7109375" style="97" customWidth="1"/>
    <col min="2" max="4" width="10.7109375" style="27" hidden="1" customWidth="1"/>
    <col min="5" max="5" width="11.28515625" style="27" hidden="1" customWidth="1"/>
    <col min="6" max="8" width="11.28515625" style="27" customWidth="1"/>
    <col min="9" max="9" width="10" style="27" bestFit="1" customWidth="1"/>
    <col min="10" max="16384" width="9.140625" style="27"/>
  </cols>
  <sheetData>
    <row r="1" spans="1:9" s="46" customFormat="1" ht="18.75" customHeight="1" x14ac:dyDescent="0.3">
      <c r="A1" s="216" t="s">
        <v>575</v>
      </c>
      <c r="B1" s="203"/>
      <c r="C1" s="190"/>
      <c r="D1" s="190"/>
      <c r="E1" s="190"/>
      <c r="F1" s="190"/>
      <c r="G1" s="190"/>
      <c r="H1" s="190"/>
    </row>
    <row r="2" spans="1:9" ht="18.75" customHeight="1" x14ac:dyDescent="0.3">
      <c r="A2" s="98"/>
      <c r="B2" s="49"/>
      <c r="C2" s="98"/>
      <c r="D2" s="98"/>
      <c r="E2" s="98"/>
      <c r="F2" s="98"/>
      <c r="G2" s="98"/>
      <c r="H2" s="98"/>
    </row>
    <row r="3" spans="1:9" s="46" customFormat="1" ht="16.5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9" s="46" customFormat="1" ht="16.5" x14ac:dyDescent="0.3">
      <c r="A4" s="54" t="s">
        <v>112</v>
      </c>
      <c r="B4" s="42">
        <v>1200</v>
      </c>
      <c r="C4" s="42">
        <v>2250</v>
      </c>
      <c r="D4" s="551">
        <f>230*12</f>
        <v>2760</v>
      </c>
      <c r="E4" s="551">
        <f>265*12</f>
        <v>3180</v>
      </c>
      <c r="F4" s="685">
        <f>380*12</f>
        <v>4560</v>
      </c>
      <c r="G4" s="685">
        <f>380*12</f>
        <v>4560</v>
      </c>
      <c r="H4" s="685">
        <f>380*12</f>
        <v>4560</v>
      </c>
    </row>
    <row r="5" spans="1:9" s="46" customFormat="1" ht="18.75" customHeight="1" x14ac:dyDescent="0.3">
      <c r="A5" s="54" t="s">
        <v>500</v>
      </c>
      <c r="B5" s="42">
        <v>4200</v>
      </c>
      <c r="C5" s="42">
        <v>3000</v>
      </c>
      <c r="D5" s="551">
        <f>250*12</f>
        <v>3000</v>
      </c>
      <c r="E5" s="551">
        <f>230*12</f>
        <v>2760</v>
      </c>
      <c r="F5" s="685">
        <f>200*12</f>
        <v>2400</v>
      </c>
      <c r="G5" s="685">
        <f>200*12</f>
        <v>2400</v>
      </c>
      <c r="H5" s="685">
        <f>300*12</f>
        <v>3600</v>
      </c>
      <c r="I5" s="27" t="s">
        <v>744</v>
      </c>
    </row>
    <row r="6" spans="1:9" ht="18.75" customHeight="1" x14ac:dyDescent="0.3">
      <c r="A6" s="54" t="s">
        <v>320</v>
      </c>
      <c r="B6" s="42">
        <v>400</v>
      </c>
      <c r="C6" s="42">
        <v>200</v>
      </c>
      <c r="D6" s="42">
        <v>200</v>
      </c>
      <c r="E6" s="42">
        <v>200</v>
      </c>
      <c r="F6" s="686">
        <v>100</v>
      </c>
      <c r="G6" s="686"/>
      <c r="H6" s="686"/>
    </row>
    <row r="7" spans="1:9" s="46" customFormat="1" ht="18.75" customHeight="1" x14ac:dyDescent="0.3">
      <c r="A7" s="54" t="s">
        <v>628</v>
      </c>
      <c r="B7" s="42">
        <v>4200</v>
      </c>
      <c r="C7" s="42">
        <v>4080</v>
      </c>
      <c r="D7" s="551">
        <f>45*8*12</f>
        <v>4320</v>
      </c>
      <c r="E7" s="551">
        <f>45*8*12</f>
        <v>4320</v>
      </c>
      <c r="F7" s="685">
        <f>(15*189)+(15*189)+(5*189)</f>
        <v>6615</v>
      </c>
      <c r="G7" s="685"/>
      <c r="H7" s="685"/>
    </row>
    <row r="8" spans="1:9" ht="18.75" customHeight="1" x14ac:dyDescent="0.3">
      <c r="A8" s="63" t="s">
        <v>629</v>
      </c>
      <c r="B8" s="62"/>
      <c r="C8" s="62"/>
      <c r="D8" s="62"/>
      <c r="E8" s="62"/>
      <c r="F8" s="675">
        <f>(10*2*12)+(100000*0.01)</f>
        <v>1240</v>
      </c>
      <c r="G8" s="675">
        <f>(10*2*12)+(100000*0.01)</f>
        <v>1240</v>
      </c>
      <c r="H8" s="675">
        <f>(10*3*12)+(100000*0.01)</f>
        <v>1360</v>
      </c>
    </row>
    <row r="9" spans="1:9" ht="18.75" customHeight="1" x14ac:dyDescent="0.3">
      <c r="A9" s="63"/>
      <c r="B9" s="62"/>
      <c r="C9" s="62"/>
      <c r="D9" s="62"/>
      <c r="E9" s="62"/>
      <c r="F9" s="675"/>
      <c r="G9" s="675"/>
      <c r="H9" s="675"/>
    </row>
    <row r="10" spans="1:9" ht="18.75" customHeight="1" x14ac:dyDescent="0.3">
      <c r="A10" s="98"/>
      <c r="B10" s="62"/>
      <c r="C10" s="62"/>
      <c r="D10" s="62"/>
      <c r="E10" s="62"/>
      <c r="F10" s="675"/>
      <c r="G10" s="675"/>
      <c r="H10" s="675"/>
    </row>
    <row r="11" spans="1:9" ht="18.75" customHeight="1" x14ac:dyDescent="0.3">
      <c r="A11" s="63"/>
      <c r="B11" s="62">
        <v>300</v>
      </c>
      <c r="C11" s="62"/>
      <c r="D11" s="62"/>
      <c r="E11" s="62"/>
      <c r="F11" s="675"/>
      <c r="G11" s="675"/>
      <c r="H11" s="675"/>
    </row>
    <row r="12" spans="1:9" ht="18.75" customHeight="1" x14ac:dyDescent="0.3">
      <c r="A12" s="103" t="s">
        <v>128</v>
      </c>
      <c r="B12" s="122">
        <f t="shared" ref="B12:H12" si="0">SUM(B4:B11)</f>
        <v>10300</v>
      </c>
      <c r="C12" s="122">
        <f t="shared" si="0"/>
        <v>9530</v>
      </c>
      <c r="D12" s="122">
        <f t="shared" si="0"/>
        <v>10280</v>
      </c>
      <c r="E12" s="122">
        <f t="shared" si="0"/>
        <v>10460</v>
      </c>
      <c r="F12" s="787">
        <f t="shared" si="0"/>
        <v>14915</v>
      </c>
      <c r="G12" s="787">
        <f t="shared" ref="G12" si="1">SUM(G4:G11)</f>
        <v>8200</v>
      </c>
      <c r="H12" s="787">
        <f t="shared" si="0"/>
        <v>9520</v>
      </c>
    </row>
    <row r="14" spans="1:9" ht="18.75" customHeight="1" x14ac:dyDescent="0.3">
      <c r="A14" s="17"/>
    </row>
  </sheetData>
  <sortState ref="A5:E7">
    <sortCondition ref="A5:A7"/>
  </sortState>
  <phoneticPr fontId="19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25"/>
  <sheetViews>
    <sheetView zoomScaleNormal="100" workbookViewId="0"/>
  </sheetViews>
  <sheetFormatPr defaultRowHeight="18.75" customHeight="1" x14ac:dyDescent="0.2"/>
  <cols>
    <col min="1" max="1" width="36.7109375" style="14" customWidth="1"/>
    <col min="2" max="2" width="12.28515625" style="15" hidden="1" customWidth="1"/>
    <col min="3" max="5" width="12.28515625" style="96" hidden="1" customWidth="1"/>
    <col min="6" max="8" width="12.28515625" style="96" customWidth="1"/>
    <col min="9" max="16384" width="9.140625" style="96"/>
  </cols>
  <sheetData>
    <row r="1" spans="1:8" s="182" customFormat="1" ht="18.75" customHeight="1" x14ac:dyDescent="0.3">
      <c r="A1" s="216" t="s">
        <v>576</v>
      </c>
      <c r="B1" s="203"/>
      <c r="C1" s="190"/>
      <c r="D1" s="190"/>
      <c r="E1" s="190"/>
      <c r="F1" s="190"/>
      <c r="G1" s="190"/>
      <c r="H1" s="190"/>
    </row>
    <row r="2" spans="1:8" ht="18.75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s="182" customFormat="1" ht="18.75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82" customFormat="1" ht="18.75" customHeight="1" x14ac:dyDescent="0.3">
      <c r="A4" s="69"/>
      <c r="B4" s="101"/>
      <c r="C4" s="101"/>
      <c r="D4" s="101"/>
      <c r="E4" s="101"/>
      <c r="F4" s="722"/>
      <c r="G4" s="722"/>
      <c r="H4" s="722"/>
    </row>
    <row r="5" spans="1:8" s="182" customFormat="1" ht="18.75" customHeight="1" x14ac:dyDescent="0.25">
      <c r="A5" s="57" t="s">
        <v>440</v>
      </c>
      <c r="B5" s="192">
        <v>15000</v>
      </c>
      <c r="C5" s="192">
        <v>18720</v>
      </c>
      <c r="D5" s="230">
        <v>18720</v>
      </c>
      <c r="E5" s="230">
        <f>1200*12</f>
        <v>14400</v>
      </c>
      <c r="F5" s="728">
        <f>1000*12</f>
        <v>12000</v>
      </c>
      <c r="G5" s="728">
        <f>1000*12</f>
        <v>12000</v>
      </c>
      <c r="H5" s="728">
        <f>1000*12</f>
        <v>12000</v>
      </c>
    </row>
    <row r="6" spans="1:8" s="182" customFormat="1" ht="18.75" customHeight="1" x14ac:dyDescent="0.25">
      <c r="A6" s="57" t="s">
        <v>443</v>
      </c>
      <c r="B6" s="192">
        <v>15000</v>
      </c>
      <c r="C6" s="192">
        <v>15600</v>
      </c>
      <c r="D6" s="230">
        <v>15600</v>
      </c>
      <c r="E6" s="230">
        <f>1300*12</f>
        <v>15600</v>
      </c>
      <c r="F6" s="728">
        <f>1200*12</f>
        <v>14400</v>
      </c>
      <c r="G6" s="728">
        <f>1200*12</f>
        <v>14400</v>
      </c>
      <c r="H6" s="728">
        <f>1200*12</f>
        <v>14400</v>
      </c>
    </row>
    <row r="7" spans="1:8" s="182" customFormat="1" ht="18.75" customHeight="1" x14ac:dyDescent="0.25">
      <c r="A7" s="57" t="s">
        <v>583</v>
      </c>
      <c r="B7" s="192">
        <v>1500</v>
      </c>
      <c r="C7" s="192">
        <v>1920</v>
      </c>
      <c r="D7" s="230">
        <v>1940</v>
      </c>
      <c r="E7" s="230">
        <f>200*12</f>
        <v>2400</v>
      </c>
      <c r="F7" s="728">
        <f>180*12</f>
        <v>2160</v>
      </c>
      <c r="G7" s="728">
        <f>180*12</f>
        <v>2160</v>
      </c>
      <c r="H7" s="728">
        <f>180*12</f>
        <v>2160</v>
      </c>
    </row>
    <row r="8" spans="1:8" s="182" customFormat="1" ht="18.75" customHeight="1" x14ac:dyDescent="0.25">
      <c r="A8" s="57" t="s">
        <v>584</v>
      </c>
      <c r="B8" s="56">
        <v>4000</v>
      </c>
      <c r="C8" s="56">
        <v>5600</v>
      </c>
      <c r="D8" s="58">
        <v>5600</v>
      </c>
      <c r="E8" s="58">
        <f>600*12</f>
        <v>7200</v>
      </c>
      <c r="F8" s="662">
        <f>400*12</f>
        <v>4800</v>
      </c>
      <c r="G8" s="662">
        <f>400*12</f>
        <v>4800</v>
      </c>
      <c r="H8" s="662">
        <f>400*12</f>
        <v>4800</v>
      </c>
    </row>
    <row r="9" spans="1:8" ht="18.75" customHeight="1" x14ac:dyDescent="0.2">
      <c r="A9" s="232" t="s">
        <v>630</v>
      </c>
      <c r="B9" s="56">
        <v>5700</v>
      </c>
      <c r="C9" s="56">
        <v>6600</v>
      </c>
      <c r="D9" s="58">
        <v>6600</v>
      </c>
      <c r="E9" s="58">
        <f>(261*12)+(301*12)</f>
        <v>6744</v>
      </c>
      <c r="F9" s="662">
        <f>((8.29+28.92+31.99+4.39+20)*12)+((8.29+28.92+30+31.99+4.39+10.79+20)*12)</f>
        <v>2735.64</v>
      </c>
      <c r="G9" s="662">
        <f>((8.29+28.92+31.99+4.39+20)*12)+((8.29+28.92+30+31.99+4.39+10.79+20)*12)</f>
        <v>2735.64</v>
      </c>
      <c r="H9" s="662">
        <f>((8.29+28.92+31.99+4.39+20)*12)+((8.29+28.92+30+31.99+4.39+10.79+20)*12)</f>
        <v>2735.64</v>
      </c>
    </row>
    <row r="10" spans="1:8" ht="18.75" customHeight="1" x14ac:dyDescent="0.2">
      <c r="A10" s="57" t="s">
        <v>465</v>
      </c>
      <c r="B10" s="192">
        <v>3000</v>
      </c>
      <c r="C10" s="192">
        <v>2670</v>
      </c>
      <c r="D10" s="230">
        <v>2670</v>
      </c>
      <c r="E10" s="230">
        <f>250*12</f>
        <v>3000</v>
      </c>
      <c r="F10" s="728">
        <f>320*12</f>
        <v>3840</v>
      </c>
      <c r="G10" s="728">
        <f>320*12</f>
        <v>3840</v>
      </c>
      <c r="H10" s="728">
        <f>320*12</f>
        <v>3840</v>
      </c>
    </row>
    <row r="11" spans="1:8" ht="18.75" customHeight="1" x14ac:dyDescent="0.2">
      <c r="A11" s="57" t="s">
        <v>466</v>
      </c>
      <c r="B11" s="192"/>
      <c r="C11" s="192">
        <v>2370</v>
      </c>
      <c r="D11" s="230">
        <v>2370</v>
      </c>
      <c r="E11" s="230">
        <f>240*12</f>
        <v>2880</v>
      </c>
      <c r="F11" s="728">
        <f>220*12</f>
        <v>2640</v>
      </c>
      <c r="G11" s="728">
        <f>220*12</f>
        <v>2640</v>
      </c>
      <c r="H11" s="728">
        <f>220*12</f>
        <v>2640</v>
      </c>
    </row>
    <row r="12" spans="1:8" ht="18.75" customHeight="1" x14ac:dyDescent="0.2">
      <c r="A12" s="57" t="s">
        <v>441</v>
      </c>
      <c r="B12" s="192">
        <v>8400</v>
      </c>
      <c r="C12" s="192">
        <v>8100</v>
      </c>
      <c r="D12" s="230">
        <v>8100</v>
      </c>
      <c r="E12" s="230">
        <f>675*12</f>
        <v>8100</v>
      </c>
      <c r="F12" s="728">
        <f>675*12</f>
        <v>8100</v>
      </c>
      <c r="G12" s="728">
        <f>675*12</f>
        <v>8100</v>
      </c>
      <c r="H12" s="728">
        <f>675*12</f>
        <v>8100</v>
      </c>
    </row>
    <row r="13" spans="1:8" ht="18.75" customHeight="1" x14ac:dyDescent="0.2">
      <c r="A13" s="57" t="s">
        <v>442</v>
      </c>
      <c r="B13" s="192">
        <v>8800</v>
      </c>
      <c r="C13" s="192">
        <v>12000</v>
      </c>
      <c r="D13" s="230">
        <v>10000</v>
      </c>
      <c r="E13" s="230">
        <f>1200*12</f>
        <v>14400</v>
      </c>
      <c r="F13" s="728">
        <f>1400*12</f>
        <v>16800</v>
      </c>
      <c r="G13" s="728">
        <f>1400*12</f>
        <v>16800</v>
      </c>
      <c r="H13" s="728">
        <f>1400*12</f>
        <v>16800</v>
      </c>
    </row>
    <row r="14" spans="1:8" ht="18.75" customHeight="1" x14ac:dyDescent="0.2">
      <c r="A14" s="277" t="s">
        <v>631</v>
      </c>
      <c r="B14" s="271"/>
      <c r="C14" s="271"/>
      <c r="D14" s="271"/>
      <c r="E14" s="271"/>
      <c r="F14" s="760">
        <f>(399*12)+((49*2)*12)</f>
        <v>5964</v>
      </c>
      <c r="G14" s="760">
        <f>(399*12)+((49*2)*12)</f>
        <v>5964</v>
      </c>
      <c r="H14" s="760">
        <f>(499*12)+((49*2)*12)</f>
        <v>7164</v>
      </c>
    </row>
    <row r="15" spans="1:8" ht="18.75" customHeight="1" x14ac:dyDescent="0.2">
      <c r="A15" s="277"/>
      <c r="B15" s="271"/>
      <c r="C15" s="271"/>
      <c r="D15" s="271"/>
      <c r="E15" s="271"/>
      <c r="F15" s="760"/>
      <c r="G15" s="760"/>
      <c r="H15" s="760"/>
    </row>
    <row r="16" spans="1:8" ht="18.75" customHeight="1" thickBot="1" x14ac:dyDescent="0.25">
      <c r="A16" s="280"/>
      <c r="B16" s="272">
        <v>3000</v>
      </c>
      <c r="C16" s="272"/>
      <c r="D16" s="272"/>
      <c r="E16" s="272"/>
      <c r="F16" s="754"/>
      <c r="G16" s="754"/>
      <c r="H16" s="754"/>
    </row>
    <row r="17" spans="1:8" s="182" customFormat="1" ht="18.75" customHeight="1" thickTop="1" x14ac:dyDescent="0.25">
      <c r="A17" s="275" t="s">
        <v>128</v>
      </c>
      <c r="B17" s="202">
        <f t="shared" ref="B17:H17" si="0">SUM(B4:B16)</f>
        <v>64400</v>
      </c>
      <c r="C17" s="202">
        <f t="shared" si="0"/>
        <v>73580</v>
      </c>
      <c r="D17" s="202">
        <f t="shared" si="0"/>
        <v>71600</v>
      </c>
      <c r="E17" s="202">
        <f t="shared" si="0"/>
        <v>74724</v>
      </c>
      <c r="F17" s="771">
        <f t="shared" si="0"/>
        <v>73439.64</v>
      </c>
      <c r="G17" s="771">
        <f t="shared" ref="G17" si="1">SUM(G4:G16)</f>
        <v>73439.64</v>
      </c>
      <c r="H17" s="771">
        <f t="shared" si="0"/>
        <v>74639.64</v>
      </c>
    </row>
    <row r="18" spans="1:8" ht="18.75" customHeight="1" x14ac:dyDescent="0.3">
      <c r="A18" s="17"/>
      <c r="B18" s="45"/>
      <c r="C18" s="27"/>
    </row>
    <row r="19" spans="1:8" ht="18.75" customHeight="1" x14ac:dyDescent="0.2">
      <c r="A19" s="240"/>
    </row>
    <row r="20" spans="1:8" ht="18.75" customHeight="1" x14ac:dyDescent="0.2">
      <c r="A20" s="200"/>
    </row>
    <row r="21" spans="1:8" ht="18.75" customHeight="1" x14ac:dyDescent="0.2">
      <c r="A21" s="200"/>
    </row>
    <row r="22" spans="1:8" ht="18.75" customHeight="1" x14ac:dyDescent="0.2">
      <c r="A22" s="200"/>
    </row>
    <row r="23" spans="1:8" ht="18.75" customHeight="1" x14ac:dyDescent="0.2">
      <c r="A23" s="200"/>
    </row>
    <row r="24" spans="1:8" ht="18.75" customHeight="1" x14ac:dyDescent="0.2">
      <c r="A24" s="200"/>
    </row>
    <row r="25" spans="1:8" ht="18.75" customHeight="1" x14ac:dyDescent="0.2">
      <c r="A25" s="200"/>
    </row>
  </sheetData>
  <sortState ref="A5:E12">
    <sortCondition ref="A5"/>
  </sortState>
  <phoneticPr fontId="19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21"/>
  <sheetViews>
    <sheetView workbookViewId="0"/>
  </sheetViews>
  <sheetFormatPr defaultRowHeight="18.75" customHeight="1" x14ac:dyDescent="0.3"/>
  <cols>
    <col min="1" max="1" width="30.5703125" style="97" customWidth="1"/>
    <col min="2" max="2" width="12.42578125" style="45" hidden="1" customWidth="1"/>
    <col min="3" max="4" width="12.42578125" style="27" hidden="1" customWidth="1"/>
    <col min="5" max="5" width="11.7109375" style="27" hidden="1" customWidth="1"/>
    <col min="6" max="8" width="11.7109375" style="27" customWidth="1"/>
    <col min="9" max="16384" width="9.140625" style="27"/>
  </cols>
  <sheetData>
    <row r="1" spans="1:8" s="46" customFormat="1" ht="18.75" customHeight="1" x14ac:dyDescent="0.3">
      <c r="A1" s="216" t="s">
        <v>577</v>
      </c>
      <c r="B1" s="203"/>
      <c r="C1" s="203"/>
      <c r="D1" s="203"/>
      <c r="E1" s="203"/>
      <c r="F1" s="203"/>
      <c r="G1" s="203"/>
      <c r="H1" s="203"/>
    </row>
    <row r="2" spans="1:8" ht="18.75" customHeight="1" x14ac:dyDescent="0.3">
      <c r="A2" s="98"/>
      <c r="B2" s="49"/>
      <c r="C2" s="49"/>
      <c r="D2" s="49"/>
      <c r="E2" s="49"/>
      <c r="F2" s="49"/>
      <c r="G2" s="49"/>
      <c r="H2" s="49"/>
    </row>
    <row r="3" spans="1:8" s="46" customFormat="1" ht="18.75" customHeight="1" x14ac:dyDescent="0.3">
      <c r="A3" s="41" t="s">
        <v>130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s="123" customFormat="1" ht="18.75" customHeight="1" x14ac:dyDescent="0.3">
      <c r="A4" s="267"/>
      <c r="B4" s="201"/>
      <c r="C4" s="201"/>
      <c r="D4" s="201"/>
      <c r="E4" s="201"/>
      <c r="F4" s="753"/>
      <c r="G4" s="753"/>
      <c r="H4" s="753"/>
    </row>
    <row r="5" spans="1:8" s="123" customFormat="1" ht="18.75" customHeight="1" x14ac:dyDescent="0.3">
      <c r="A5" s="267"/>
      <c r="B5" s="201"/>
      <c r="C5" s="201"/>
      <c r="D5" s="201"/>
      <c r="E5" s="201"/>
      <c r="F5" s="753"/>
      <c r="G5" s="753"/>
      <c r="H5" s="753"/>
    </row>
    <row r="6" spans="1:8" s="123" customFormat="1" ht="18.75" customHeight="1" x14ac:dyDescent="0.3">
      <c r="A6" s="267"/>
      <c r="B6" s="201"/>
      <c r="C6" s="201"/>
      <c r="D6" s="201"/>
      <c r="E6" s="201"/>
      <c r="F6" s="753"/>
      <c r="G6" s="753"/>
      <c r="H6" s="753"/>
    </row>
    <row r="7" spans="1:8" s="123" customFormat="1" ht="18.75" customHeight="1" x14ac:dyDescent="0.3">
      <c r="A7" s="232" t="s">
        <v>219</v>
      </c>
      <c r="B7" s="201">
        <v>255362.5</v>
      </c>
      <c r="C7" s="201">
        <v>259032.5</v>
      </c>
      <c r="D7" s="201"/>
      <c r="E7" s="201"/>
      <c r="F7" s="753"/>
      <c r="G7" s="753"/>
      <c r="H7" s="753"/>
    </row>
    <row r="8" spans="1:8" s="123" customFormat="1" ht="18.75" customHeight="1" x14ac:dyDescent="0.3">
      <c r="A8" s="232" t="s">
        <v>220</v>
      </c>
      <c r="B8" s="201">
        <v>113247.5</v>
      </c>
      <c r="C8" s="201">
        <v>111447.5</v>
      </c>
      <c r="D8" s="201"/>
      <c r="E8" s="201"/>
      <c r="F8" s="753"/>
      <c r="G8" s="753"/>
      <c r="H8" s="753"/>
    </row>
    <row r="9" spans="1:8" s="123" customFormat="1" ht="18.75" customHeight="1" x14ac:dyDescent="0.3">
      <c r="A9" s="232" t="s">
        <v>686</v>
      </c>
      <c r="B9" s="201"/>
      <c r="C9" s="201"/>
      <c r="D9" s="201">
        <v>75600</v>
      </c>
      <c r="E9" s="201">
        <v>72800</v>
      </c>
      <c r="F9" s="753">
        <v>69050</v>
      </c>
      <c r="G9" s="753">
        <v>63450</v>
      </c>
      <c r="H9" s="753">
        <f>28925+28925</f>
        <v>57850</v>
      </c>
    </row>
    <row r="10" spans="1:8" s="123" customFormat="1" ht="18.75" customHeight="1" x14ac:dyDescent="0.3">
      <c r="A10" s="232" t="s">
        <v>501</v>
      </c>
      <c r="B10" s="281"/>
      <c r="C10" s="201"/>
      <c r="D10" s="201">
        <v>271950</v>
      </c>
      <c r="E10" s="201">
        <f>36525+200000+36525</f>
        <v>273050</v>
      </c>
      <c r="F10" s="753">
        <v>280000</v>
      </c>
      <c r="G10" s="753">
        <v>280000</v>
      </c>
      <c r="H10" s="753">
        <v>290000</v>
      </c>
    </row>
    <row r="11" spans="1:8" s="123" customFormat="1" ht="18.75" customHeight="1" x14ac:dyDescent="0.3">
      <c r="A11" s="232" t="s">
        <v>261</v>
      </c>
      <c r="B11" s="281"/>
      <c r="C11" s="201"/>
      <c r="D11" s="201"/>
      <c r="E11" s="201"/>
      <c r="F11" s="753"/>
      <c r="G11" s="753"/>
      <c r="H11" s="753"/>
    </row>
    <row r="12" spans="1:8" s="123" customFormat="1" ht="18.75" customHeight="1" x14ac:dyDescent="0.3">
      <c r="A12" s="232" t="s">
        <v>348</v>
      </c>
      <c r="B12" s="201"/>
      <c r="C12" s="201"/>
      <c r="D12" s="201"/>
      <c r="E12" s="201"/>
      <c r="F12" s="753"/>
      <c r="G12" s="753"/>
      <c r="H12" s="753"/>
    </row>
    <row r="13" spans="1:8" s="46" customFormat="1" ht="18.75" customHeight="1" x14ac:dyDescent="0.3">
      <c r="A13" s="57"/>
      <c r="B13" s="269"/>
      <c r="C13" s="269"/>
      <c r="D13" s="269"/>
      <c r="E13" s="269"/>
      <c r="F13" s="764"/>
      <c r="G13" s="764"/>
      <c r="H13" s="764"/>
    </row>
    <row r="14" spans="1:8" ht="18.75" customHeight="1" thickBot="1" x14ac:dyDescent="0.35">
      <c r="A14" s="232"/>
      <c r="B14" s="270"/>
      <c r="C14" s="270"/>
      <c r="D14" s="270"/>
      <c r="E14" s="270"/>
      <c r="F14" s="772"/>
      <c r="G14" s="772"/>
      <c r="H14" s="772"/>
    </row>
    <row r="15" spans="1:8" s="46" customFormat="1" ht="18.75" customHeight="1" thickTop="1" x14ac:dyDescent="0.3">
      <c r="A15" s="275" t="s">
        <v>128</v>
      </c>
      <c r="B15" s="278">
        <f t="shared" ref="B15:H15" si="0">SUM(B4:B14)</f>
        <v>368610</v>
      </c>
      <c r="C15" s="278">
        <f t="shared" si="0"/>
        <v>370480</v>
      </c>
      <c r="D15" s="278">
        <f t="shared" si="0"/>
        <v>347550</v>
      </c>
      <c r="E15" s="278">
        <f t="shared" si="0"/>
        <v>345850</v>
      </c>
      <c r="F15" s="767">
        <f t="shared" si="0"/>
        <v>349050</v>
      </c>
      <c r="G15" s="767">
        <f t="shared" ref="G15" si="1">SUM(G4:G14)</f>
        <v>343450</v>
      </c>
      <c r="H15" s="767">
        <f t="shared" si="0"/>
        <v>347850</v>
      </c>
    </row>
    <row r="16" spans="1:8" ht="18.75" customHeight="1" x14ac:dyDescent="0.3">
      <c r="A16" s="259"/>
      <c r="B16" s="259"/>
      <c r="C16" s="259"/>
      <c r="D16" s="259"/>
    </row>
    <row r="17" spans="1:2" ht="18.75" customHeight="1" x14ac:dyDescent="0.3">
      <c r="A17" s="17" t="s">
        <v>362</v>
      </c>
      <c r="B17" s="27"/>
    </row>
    <row r="18" spans="1:2" ht="18.75" customHeight="1" x14ac:dyDescent="0.3">
      <c r="A18" s="17" t="s">
        <v>363</v>
      </c>
    </row>
    <row r="19" spans="1:2" ht="18.75" customHeight="1" x14ac:dyDescent="0.3">
      <c r="A19" s="17"/>
    </row>
    <row r="20" spans="1:2" ht="18.75" customHeight="1" x14ac:dyDescent="0.3">
      <c r="A20" s="17"/>
    </row>
    <row r="21" spans="1:2" ht="18.75" customHeight="1" x14ac:dyDescent="0.3">
      <c r="A21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11"/>
  <sheetViews>
    <sheetView workbookViewId="0"/>
  </sheetViews>
  <sheetFormatPr defaultRowHeight="18.75" customHeight="1" x14ac:dyDescent="0.3"/>
  <cols>
    <col min="1" max="1" width="44.85546875" style="97" customWidth="1"/>
    <col min="2" max="5" width="10.28515625" style="27" hidden="1" customWidth="1"/>
    <col min="6" max="8" width="10.28515625" style="27" customWidth="1"/>
    <col min="9" max="16384" width="9.140625" style="27"/>
  </cols>
  <sheetData>
    <row r="1" spans="1:8" s="46" customFormat="1" ht="18.75" customHeight="1" x14ac:dyDescent="0.3">
      <c r="A1" s="216" t="s">
        <v>578</v>
      </c>
      <c r="B1" s="203"/>
      <c r="C1" s="190" t="s">
        <v>647</v>
      </c>
      <c r="D1" s="190"/>
      <c r="E1" s="190"/>
      <c r="F1" s="190"/>
      <c r="G1" s="190"/>
      <c r="H1" s="190"/>
    </row>
    <row r="2" spans="1:8" ht="18.75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s="46" customFormat="1" ht="18.75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23" customFormat="1" ht="18.75" customHeight="1" x14ac:dyDescent="0.3">
      <c r="A4" s="267"/>
      <c r="B4" s="267"/>
      <c r="C4" s="267"/>
      <c r="D4" s="267"/>
      <c r="E4" s="267"/>
      <c r="F4" s="788"/>
      <c r="G4" s="788"/>
      <c r="H4" s="788"/>
    </row>
    <row r="5" spans="1:8" ht="18.75" customHeight="1" x14ac:dyDescent="0.3">
      <c r="A5" s="63"/>
      <c r="B5" s="42">
        <v>2750</v>
      </c>
      <c r="C5" s="42"/>
      <c r="D5" s="42"/>
      <c r="E5" s="42"/>
      <c r="F5" s="686"/>
      <c r="G5" s="686"/>
      <c r="H5" s="686"/>
    </row>
    <row r="6" spans="1:8" ht="18.75" customHeight="1" x14ac:dyDescent="0.3">
      <c r="A6" s="63" t="s">
        <v>648</v>
      </c>
      <c r="B6" s="42"/>
      <c r="C6" s="42">
        <v>3250</v>
      </c>
      <c r="D6" s="42">
        <f>5*50*14</f>
        <v>3500</v>
      </c>
      <c r="E6" s="42">
        <f>5*50*14</f>
        <v>3500</v>
      </c>
      <c r="F6" s="686">
        <f>5*50*16</f>
        <v>4000</v>
      </c>
      <c r="G6" s="686">
        <f>5*50*16</f>
        <v>4000</v>
      </c>
      <c r="H6" s="686">
        <f>50*16*5</f>
        <v>4000</v>
      </c>
    </row>
    <row r="7" spans="1:8" ht="18.75" customHeight="1" x14ac:dyDescent="0.3">
      <c r="A7" s="460"/>
      <c r="B7" s="180"/>
      <c r="C7" s="180"/>
      <c r="D7" s="180"/>
      <c r="E7" s="180"/>
      <c r="F7" s="789"/>
      <c r="G7" s="789"/>
      <c r="H7" s="789"/>
    </row>
    <row r="8" spans="1:8" ht="18.75" customHeight="1" x14ac:dyDescent="0.3">
      <c r="A8" s="460"/>
      <c r="B8" s="180"/>
      <c r="C8" s="180"/>
      <c r="D8" s="180"/>
      <c r="E8" s="180"/>
      <c r="F8" s="789"/>
      <c r="G8" s="789"/>
      <c r="H8" s="789"/>
    </row>
    <row r="9" spans="1:8" ht="18.75" customHeight="1" x14ac:dyDescent="0.3">
      <c r="A9" s="464"/>
      <c r="B9" s="42"/>
      <c r="C9" s="42"/>
      <c r="D9" s="42"/>
      <c r="E9" s="42"/>
      <c r="F9" s="686"/>
      <c r="G9" s="686"/>
      <c r="H9" s="686"/>
    </row>
    <row r="10" spans="1:8" ht="18.75" customHeight="1" thickBot="1" x14ac:dyDescent="0.35">
      <c r="A10" s="460"/>
      <c r="B10" s="465">
        <v>-500</v>
      </c>
      <c r="C10" s="465"/>
      <c r="D10" s="465"/>
      <c r="E10" s="465"/>
      <c r="F10" s="790"/>
      <c r="G10" s="790"/>
      <c r="H10" s="790"/>
    </row>
    <row r="11" spans="1:8" s="46" customFormat="1" ht="18.75" customHeight="1" thickTop="1" x14ac:dyDescent="0.3">
      <c r="A11" s="103" t="s">
        <v>128</v>
      </c>
      <c r="B11" s="44">
        <f t="shared" ref="B11:H11" si="0">SUM(B4:B10)</f>
        <v>2250</v>
      </c>
      <c r="C11" s="44">
        <f t="shared" si="0"/>
        <v>3250</v>
      </c>
      <c r="D11" s="44">
        <f t="shared" si="0"/>
        <v>3500</v>
      </c>
      <c r="E11" s="44">
        <f t="shared" si="0"/>
        <v>3500</v>
      </c>
      <c r="F11" s="689">
        <f t="shared" si="0"/>
        <v>4000</v>
      </c>
      <c r="G11" s="689">
        <f t="shared" ref="G11" si="1">SUM(G4:G10)</f>
        <v>4000</v>
      </c>
      <c r="H11" s="689">
        <f t="shared" si="0"/>
        <v>4000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13"/>
  <sheetViews>
    <sheetView workbookViewId="0"/>
  </sheetViews>
  <sheetFormatPr defaultRowHeight="18.75" customHeight="1" x14ac:dyDescent="0.3"/>
  <cols>
    <col min="1" max="1" width="47.7109375" style="97" customWidth="1"/>
    <col min="2" max="4" width="10.7109375" style="27" hidden="1" customWidth="1"/>
    <col min="5" max="5" width="10.140625" style="27" hidden="1" customWidth="1"/>
    <col min="6" max="8" width="10.140625" style="27" customWidth="1"/>
    <col min="9" max="16384" width="9.140625" style="27"/>
  </cols>
  <sheetData>
    <row r="1" spans="1:8" s="46" customFormat="1" ht="18.75" customHeight="1" x14ac:dyDescent="0.3">
      <c r="A1" s="216" t="s">
        <v>27</v>
      </c>
      <c r="B1" s="203"/>
      <c r="C1" s="190"/>
      <c r="D1" s="190"/>
      <c r="E1" s="190"/>
      <c r="F1" s="190"/>
      <c r="G1" s="190"/>
      <c r="H1" s="190"/>
    </row>
    <row r="2" spans="1:8" ht="18.75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s="46" customFormat="1" ht="18.75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23" customFormat="1" ht="18.75" customHeight="1" x14ac:dyDescent="0.3">
      <c r="A4" s="238"/>
      <c r="B4" s="238"/>
      <c r="C4" s="238"/>
      <c r="D4" s="238"/>
      <c r="E4" s="238"/>
      <c r="F4" s="791"/>
      <c r="G4" s="791"/>
      <c r="H4" s="791"/>
    </row>
    <row r="5" spans="1:8" ht="18.75" customHeight="1" x14ac:dyDescent="0.3">
      <c r="A5" s="57" t="s">
        <v>495</v>
      </c>
      <c r="B5" s="192">
        <v>1765</v>
      </c>
      <c r="C5" s="192">
        <v>1550</v>
      </c>
      <c r="D5" s="192">
        <v>3000</v>
      </c>
      <c r="E5" s="192">
        <v>3000</v>
      </c>
      <c r="F5" s="727">
        <v>2500</v>
      </c>
      <c r="G5" s="727">
        <v>2500</v>
      </c>
      <c r="H5" s="727">
        <v>2500</v>
      </c>
    </row>
    <row r="6" spans="1:8" ht="18.75" hidden="1" customHeight="1" x14ac:dyDescent="0.3">
      <c r="A6" s="57" t="s">
        <v>387</v>
      </c>
      <c r="B6" s="192">
        <v>2750</v>
      </c>
      <c r="C6" s="192"/>
      <c r="D6" s="192"/>
      <c r="E6" s="192"/>
      <c r="F6" s="727"/>
      <c r="G6" s="727"/>
      <c r="H6" s="727"/>
    </row>
    <row r="7" spans="1:8" ht="18.75" customHeight="1" x14ac:dyDescent="0.3">
      <c r="A7" s="57" t="s">
        <v>458</v>
      </c>
      <c r="B7" s="192"/>
      <c r="C7" s="192">
        <v>2000</v>
      </c>
      <c r="D7" s="192">
        <v>4000</v>
      </c>
      <c r="E7" s="192">
        <v>4000</v>
      </c>
      <c r="F7" s="728">
        <v>5000</v>
      </c>
      <c r="G7" s="727">
        <v>25000</v>
      </c>
      <c r="H7" s="727">
        <v>25000</v>
      </c>
    </row>
    <row r="8" spans="1:8" ht="18.75" customHeight="1" x14ac:dyDescent="0.3">
      <c r="A8" s="231"/>
      <c r="B8" s="192"/>
      <c r="C8" s="192"/>
      <c r="D8" s="192"/>
      <c r="E8" s="192"/>
      <c r="F8" s="727"/>
      <c r="G8" s="727"/>
      <c r="H8" s="727"/>
    </row>
    <row r="9" spans="1:8" ht="18.75" customHeight="1" x14ac:dyDescent="0.3">
      <c r="A9" s="231"/>
      <c r="B9" s="192"/>
      <c r="C9" s="192"/>
      <c r="D9" s="192"/>
      <c r="E9" s="192"/>
      <c r="F9" s="727"/>
      <c r="G9" s="727"/>
      <c r="H9" s="727"/>
    </row>
    <row r="10" spans="1:8" ht="18.75" customHeight="1" x14ac:dyDescent="0.3">
      <c r="A10" s="231"/>
      <c r="B10" s="192"/>
      <c r="C10" s="192"/>
      <c r="D10" s="192"/>
      <c r="E10" s="192"/>
      <c r="F10" s="727"/>
      <c r="G10" s="727"/>
      <c r="H10" s="727"/>
    </row>
    <row r="11" spans="1:8" ht="18.75" customHeight="1" x14ac:dyDescent="0.3">
      <c r="A11" s="231"/>
      <c r="B11" s="205"/>
      <c r="C11" s="192"/>
      <c r="D11" s="192"/>
      <c r="E11" s="192"/>
      <c r="F11" s="727"/>
      <c r="G11" s="727"/>
      <c r="H11" s="727"/>
    </row>
    <row r="12" spans="1:8" ht="18.75" customHeight="1" thickBot="1" x14ac:dyDescent="0.35">
      <c r="A12" s="231"/>
      <c r="B12" s="289">
        <f>-4305-210</f>
        <v>-4515</v>
      </c>
      <c r="C12" s="193"/>
      <c r="D12" s="193"/>
      <c r="E12" s="193"/>
      <c r="F12" s="763"/>
      <c r="G12" s="763"/>
      <c r="H12" s="763"/>
    </row>
    <row r="13" spans="1:8" s="46" customFormat="1" ht="18.75" customHeight="1" x14ac:dyDescent="0.3">
      <c r="A13" s="282" t="s">
        <v>128</v>
      </c>
      <c r="B13" s="466">
        <f>SUM(B4:B12)</f>
        <v>0</v>
      </c>
      <c r="C13" s="466">
        <f t="shared" ref="C13:H13" si="0">SUM(C4:C12)</f>
        <v>3550</v>
      </c>
      <c r="D13" s="466">
        <f t="shared" si="0"/>
        <v>7000</v>
      </c>
      <c r="E13" s="466">
        <f t="shared" si="0"/>
        <v>7000</v>
      </c>
      <c r="F13" s="792">
        <f t="shared" ref="F13:G13" si="1">SUM(F4:F12)</f>
        <v>7500</v>
      </c>
      <c r="G13" s="792">
        <f t="shared" si="1"/>
        <v>27500</v>
      </c>
      <c r="H13" s="792">
        <f t="shared" si="0"/>
        <v>27500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15"/>
  <sheetViews>
    <sheetView workbookViewId="0">
      <selection activeCell="F13" sqref="F13"/>
    </sheetView>
  </sheetViews>
  <sheetFormatPr defaultRowHeight="18.75" customHeight="1" x14ac:dyDescent="0.2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46" customFormat="1" ht="18.75" customHeight="1" x14ac:dyDescent="0.3">
      <c r="A1" s="218" t="s">
        <v>30</v>
      </c>
      <c r="B1" s="203"/>
      <c r="C1" s="190"/>
      <c r="D1" s="190"/>
      <c r="E1" s="190"/>
      <c r="F1" s="190"/>
    </row>
    <row r="2" spans="1:6" ht="18.75" customHeight="1" x14ac:dyDescent="0.2">
      <c r="A2" s="31"/>
      <c r="B2" s="23"/>
      <c r="C2" s="31"/>
      <c r="D2" s="31"/>
      <c r="E2" s="31"/>
      <c r="F2" s="31"/>
    </row>
    <row r="3" spans="1:6" s="2" customFormat="1" ht="18.75" customHeight="1" x14ac:dyDescent="0.3">
      <c r="A3" s="41" t="s">
        <v>130</v>
      </c>
      <c r="B3" s="41">
        <v>2010</v>
      </c>
      <c r="C3" s="41">
        <v>2011</v>
      </c>
      <c r="D3" s="41">
        <v>2012</v>
      </c>
      <c r="E3" s="41">
        <v>2013</v>
      </c>
      <c r="F3" s="41">
        <v>2014</v>
      </c>
    </row>
    <row r="4" spans="1:6" s="6" customFormat="1" ht="9.75" customHeight="1" x14ac:dyDescent="0.3">
      <c r="A4" s="117"/>
      <c r="B4" s="117"/>
      <c r="C4" s="117"/>
      <c r="D4" s="117"/>
      <c r="E4" s="117"/>
      <c r="F4" s="117"/>
    </row>
    <row r="5" spans="1:6" ht="18.75" customHeight="1" x14ac:dyDescent="0.2">
      <c r="A5" s="468" t="s">
        <v>29</v>
      </c>
      <c r="B5" s="192"/>
      <c r="C5" s="192"/>
      <c r="D5" s="192"/>
      <c r="E5" s="192"/>
      <c r="F5" s="192"/>
    </row>
    <row r="6" spans="1:6" ht="18.75" customHeight="1" x14ac:dyDescent="0.2">
      <c r="A6" s="232" t="s">
        <v>444</v>
      </c>
      <c r="B6" s="192">
        <v>42500</v>
      </c>
      <c r="C6" s="205"/>
      <c r="D6" s="205"/>
      <c r="E6" s="205"/>
      <c r="F6" s="205"/>
    </row>
    <row r="7" spans="1:6" ht="18.75" customHeight="1" x14ac:dyDescent="0.3">
      <c r="A7" s="55"/>
      <c r="B7" s="205"/>
      <c r="C7" s="205"/>
      <c r="D7" s="205"/>
      <c r="E7" s="205"/>
      <c r="F7" s="205"/>
    </row>
    <row r="8" spans="1:6" ht="18.75" customHeight="1" x14ac:dyDescent="0.3">
      <c r="A8" s="63" t="s">
        <v>388</v>
      </c>
      <c r="B8" s="192"/>
      <c r="C8" s="192">
        <v>50000</v>
      </c>
      <c r="D8" s="205"/>
      <c r="E8" s="205"/>
      <c r="F8" s="205"/>
    </row>
    <row r="9" spans="1:6" ht="18.75" customHeight="1" x14ac:dyDescent="0.3">
      <c r="A9" s="55"/>
      <c r="B9" s="205"/>
      <c r="C9" s="205"/>
      <c r="D9" s="205"/>
      <c r="E9" s="205"/>
      <c r="F9" s="205"/>
    </row>
    <row r="10" spans="1:6" ht="18.75" customHeight="1" x14ac:dyDescent="0.3">
      <c r="A10" s="63" t="s">
        <v>445</v>
      </c>
      <c r="B10" s="192"/>
      <c r="C10" s="192"/>
      <c r="D10" s="192">
        <v>56393.53</v>
      </c>
      <c r="E10" s="192"/>
      <c r="F10" s="192"/>
    </row>
    <row r="11" spans="1:6" ht="18.75" customHeight="1" x14ac:dyDescent="0.3">
      <c r="A11" s="63"/>
      <c r="B11" s="192"/>
      <c r="C11" s="192"/>
      <c r="D11" s="192"/>
      <c r="E11" s="192"/>
      <c r="F11" s="192"/>
    </row>
    <row r="12" spans="1:6" ht="18.75" customHeight="1" x14ac:dyDescent="0.3">
      <c r="A12" s="63"/>
      <c r="B12" s="192"/>
      <c r="C12" s="192"/>
      <c r="D12" s="192"/>
      <c r="E12" s="192"/>
      <c r="F12" s="192"/>
    </row>
    <row r="13" spans="1:6" ht="18.75" customHeight="1" x14ac:dyDescent="0.3">
      <c r="A13" s="55" t="s">
        <v>470</v>
      </c>
      <c r="B13" s="193">
        <v>6000</v>
      </c>
      <c r="C13" s="193">
        <v>4751</v>
      </c>
      <c r="D13" s="193">
        <v>-50964.53</v>
      </c>
      <c r="E13" s="193"/>
      <c r="F13" s="193"/>
    </row>
    <row r="14" spans="1:6" s="2" customFormat="1" ht="18.75" customHeight="1" x14ac:dyDescent="0.3">
      <c r="A14" s="221" t="s">
        <v>128</v>
      </c>
      <c r="B14" s="467">
        <f>SUM(B4:B13)</f>
        <v>48500</v>
      </c>
      <c r="C14" s="467">
        <f>SUM(C4:C13)</f>
        <v>54751</v>
      </c>
      <c r="D14" s="467">
        <f>SUM(D4:D13)</f>
        <v>5429</v>
      </c>
      <c r="E14" s="467">
        <f>SUM(E4:E13)</f>
        <v>0</v>
      </c>
      <c r="F14" s="467">
        <f>SUM(F4:F13)</f>
        <v>0</v>
      </c>
    </row>
    <row r="15" spans="1:6" ht="18.75" customHeight="1" x14ac:dyDescent="0.2">
      <c r="C15"/>
      <c r="D15"/>
    </row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33"/>
  <sheetViews>
    <sheetView workbookViewId="0"/>
  </sheetViews>
  <sheetFormatPr defaultRowHeight="18.75" customHeight="1" x14ac:dyDescent="0.3"/>
  <cols>
    <col min="1" max="1" width="35.5703125" style="97" customWidth="1"/>
    <col min="2" max="2" width="11" style="45" hidden="1" customWidth="1"/>
    <col min="3" max="4" width="11" style="27" hidden="1" customWidth="1"/>
    <col min="5" max="5" width="10.28515625" style="27" hidden="1" customWidth="1"/>
    <col min="6" max="8" width="10.28515625" style="27" customWidth="1"/>
    <col min="9" max="16384" width="9.140625" style="27"/>
  </cols>
  <sheetData>
    <row r="1" spans="1:8" s="46" customFormat="1" ht="18.75" customHeight="1" x14ac:dyDescent="0.3">
      <c r="A1" s="216" t="s">
        <v>345</v>
      </c>
      <c r="B1" s="203"/>
      <c r="C1" s="203"/>
      <c r="D1" s="203"/>
      <c r="E1" s="203"/>
      <c r="F1" s="203"/>
      <c r="G1" s="203"/>
      <c r="H1" s="203"/>
    </row>
    <row r="2" spans="1:8" ht="18.75" customHeight="1" x14ac:dyDescent="0.3">
      <c r="A2" s="98"/>
      <c r="B2" s="49"/>
      <c r="C2" s="49"/>
      <c r="D2" s="49"/>
      <c r="E2" s="49"/>
      <c r="F2" s="49"/>
      <c r="G2" s="49"/>
      <c r="H2" s="49"/>
    </row>
    <row r="3" spans="1:8" s="46" customFormat="1" ht="18.75" customHeight="1" x14ac:dyDescent="0.3">
      <c r="A3" s="41" t="s">
        <v>130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s="46" customFormat="1" ht="18.75" customHeight="1" x14ac:dyDescent="0.3">
      <c r="A4" s="41"/>
      <c r="B4" s="128"/>
      <c r="C4" s="128"/>
      <c r="D4" s="128"/>
      <c r="E4" s="128"/>
      <c r="F4" s="729"/>
      <c r="G4" s="729"/>
      <c r="H4" s="729"/>
    </row>
    <row r="5" spans="1:8" s="46" customFormat="1" ht="21.95" customHeight="1" x14ac:dyDescent="0.3">
      <c r="A5" s="63" t="s">
        <v>9</v>
      </c>
      <c r="B5" s="121">
        <v>200</v>
      </c>
      <c r="C5" s="121">
        <v>100</v>
      </c>
      <c r="D5" s="121">
        <v>150</v>
      </c>
      <c r="E5" s="121">
        <v>150</v>
      </c>
      <c r="F5" s="743">
        <v>200</v>
      </c>
      <c r="G5" s="743">
        <v>200</v>
      </c>
      <c r="H5" s="743">
        <v>200</v>
      </c>
    </row>
    <row r="6" spans="1:8" s="46" customFormat="1" ht="21.95" customHeight="1" x14ac:dyDescent="0.3">
      <c r="A6" s="63" t="s">
        <v>496</v>
      </c>
      <c r="B6" s="121">
        <v>300</v>
      </c>
      <c r="C6" s="121">
        <v>150</v>
      </c>
      <c r="D6" s="121">
        <v>150</v>
      </c>
      <c r="E6" s="121">
        <v>150</v>
      </c>
      <c r="F6" s="743">
        <v>150</v>
      </c>
      <c r="G6" s="743">
        <v>0</v>
      </c>
      <c r="H6" s="743">
        <v>100</v>
      </c>
    </row>
    <row r="7" spans="1:8" s="46" customFormat="1" ht="21.95" hidden="1" customHeight="1" x14ac:dyDescent="0.3">
      <c r="A7" s="63" t="s">
        <v>332</v>
      </c>
      <c r="B7" s="121">
        <v>1000</v>
      </c>
      <c r="C7" s="121">
        <v>200</v>
      </c>
      <c r="D7" s="121">
        <v>200</v>
      </c>
      <c r="E7" s="584"/>
      <c r="F7" s="793"/>
      <c r="G7" s="793"/>
      <c r="H7" s="793"/>
    </row>
    <row r="8" spans="1:8" s="46" customFormat="1" ht="21.95" hidden="1" customHeight="1" x14ac:dyDescent="0.3">
      <c r="A8" s="63" t="s">
        <v>10</v>
      </c>
      <c r="B8" s="121">
        <v>125</v>
      </c>
      <c r="C8" s="121">
        <v>125</v>
      </c>
      <c r="D8" s="121">
        <v>100</v>
      </c>
      <c r="E8" s="584"/>
      <c r="F8" s="793"/>
      <c r="G8" s="793"/>
      <c r="H8" s="793"/>
    </row>
    <row r="9" spans="1:8" s="46" customFormat="1" ht="21.95" customHeight="1" x14ac:dyDescent="0.3">
      <c r="A9" s="63" t="s">
        <v>502</v>
      </c>
      <c r="B9" s="53">
        <v>500</v>
      </c>
      <c r="C9" s="121">
        <v>300</v>
      </c>
      <c r="D9" s="121">
        <v>300</v>
      </c>
      <c r="E9" s="584">
        <v>300</v>
      </c>
      <c r="F9" s="793">
        <v>300</v>
      </c>
      <c r="G9" s="793">
        <v>300</v>
      </c>
      <c r="H9" s="793">
        <v>350</v>
      </c>
    </row>
    <row r="10" spans="1:8" s="46" customFormat="1" ht="21.95" customHeight="1" x14ac:dyDescent="0.3">
      <c r="A10" s="63" t="s">
        <v>8</v>
      </c>
      <c r="B10" s="121">
        <v>300</v>
      </c>
      <c r="C10" s="53">
        <v>200</v>
      </c>
      <c r="D10" s="53">
        <v>0</v>
      </c>
      <c r="E10" s="105">
        <v>0</v>
      </c>
      <c r="F10" s="731">
        <v>150</v>
      </c>
      <c r="G10" s="731">
        <v>150</v>
      </c>
      <c r="H10" s="731">
        <v>150</v>
      </c>
    </row>
    <row r="11" spans="1:8" s="46" customFormat="1" ht="21.95" customHeight="1" x14ac:dyDescent="0.3">
      <c r="A11" s="63" t="s">
        <v>7</v>
      </c>
      <c r="B11" s="121">
        <v>300</v>
      </c>
      <c r="C11" s="121">
        <v>200</v>
      </c>
      <c r="D11" s="121">
        <v>0</v>
      </c>
      <c r="E11" s="584">
        <v>0</v>
      </c>
      <c r="F11" s="793">
        <v>150</v>
      </c>
      <c r="G11" s="793">
        <v>150</v>
      </c>
      <c r="H11" s="793">
        <v>150</v>
      </c>
    </row>
    <row r="12" spans="1:8" s="46" customFormat="1" ht="21.95" hidden="1" customHeight="1" x14ac:dyDescent="0.3">
      <c r="A12" s="63" t="s">
        <v>11</v>
      </c>
      <c r="B12" s="121">
        <v>200</v>
      </c>
      <c r="C12" s="121">
        <v>150</v>
      </c>
      <c r="D12" s="121">
        <v>100</v>
      </c>
      <c r="E12" s="584"/>
      <c r="F12" s="793"/>
      <c r="G12" s="793"/>
      <c r="H12" s="793"/>
    </row>
    <row r="13" spans="1:8" s="46" customFormat="1" ht="21.95" hidden="1" customHeight="1" x14ac:dyDescent="0.3">
      <c r="A13" s="63" t="s">
        <v>525</v>
      </c>
      <c r="B13" s="574"/>
      <c r="C13" s="241"/>
      <c r="D13" s="241"/>
      <c r="E13" s="241"/>
      <c r="F13" s="734"/>
      <c r="G13" s="734"/>
      <c r="H13" s="734"/>
    </row>
    <row r="14" spans="1:8" s="46" customFormat="1" ht="21.95" customHeight="1" x14ac:dyDescent="0.3">
      <c r="A14" s="63"/>
      <c r="B14" s="574"/>
      <c r="C14" s="241"/>
      <c r="D14" s="241"/>
      <c r="E14" s="241"/>
      <c r="F14" s="734"/>
      <c r="G14" s="734"/>
      <c r="H14" s="734"/>
    </row>
    <row r="15" spans="1:8" s="46" customFormat="1" ht="21.95" customHeight="1" x14ac:dyDescent="0.3">
      <c r="A15" s="63"/>
      <c r="B15" s="574"/>
      <c r="C15" s="241"/>
      <c r="D15" s="241"/>
      <c r="E15" s="241"/>
      <c r="F15" s="734"/>
      <c r="G15" s="734"/>
      <c r="H15" s="734"/>
    </row>
    <row r="16" spans="1:8" ht="21.95" customHeight="1" thickBot="1" x14ac:dyDescent="0.35">
      <c r="A16" s="98"/>
      <c r="B16" s="242"/>
      <c r="C16" s="243"/>
      <c r="D16" s="243"/>
      <c r="E16" s="243"/>
      <c r="F16" s="794"/>
      <c r="G16" s="794"/>
      <c r="H16" s="794"/>
    </row>
    <row r="17" spans="1:8" ht="21.95" customHeight="1" thickTop="1" x14ac:dyDescent="0.3">
      <c r="A17" s="103" t="s">
        <v>128</v>
      </c>
      <c r="B17" s="89">
        <f t="shared" ref="B17:H17" si="0">SUM(B4:B16)</f>
        <v>2925</v>
      </c>
      <c r="C17" s="89">
        <f t="shared" si="0"/>
        <v>1425</v>
      </c>
      <c r="D17" s="89">
        <f t="shared" si="0"/>
        <v>1000</v>
      </c>
      <c r="E17" s="89">
        <f t="shared" si="0"/>
        <v>600</v>
      </c>
      <c r="F17" s="770">
        <f t="shared" si="0"/>
        <v>950</v>
      </c>
      <c r="G17" s="770">
        <f t="shared" ref="G17" si="1">SUM(G4:G16)</f>
        <v>800</v>
      </c>
      <c r="H17" s="770">
        <f t="shared" si="0"/>
        <v>950</v>
      </c>
    </row>
    <row r="18" spans="1:8" ht="18.75" customHeight="1" x14ac:dyDescent="0.3">
      <c r="A18" s="111"/>
      <c r="B18" s="111"/>
    </row>
    <row r="19" spans="1:8" ht="18.75" customHeight="1" x14ac:dyDescent="0.3">
      <c r="A19" s="111"/>
      <c r="B19" s="111"/>
    </row>
    <row r="20" spans="1:8" ht="18.75" customHeight="1" x14ac:dyDescent="0.3">
      <c r="A20" s="111"/>
      <c r="B20" s="111"/>
    </row>
    <row r="21" spans="1:8" ht="18.75" customHeight="1" x14ac:dyDescent="0.3">
      <c r="A21" s="111"/>
      <c r="B21" s="111"/>
    </row>
    <row r="22" spans="1:8" ht="18.75" customHeight="1" x14ac:dyDescent="0.3">
      <c r="A22" s="111"/>
      <c r="B22" s="111"/>
    </row>
    <row r="23" spans="1:8" ht="18.75" customHeight="1" x14ac:dyDescent="0.3">
      <c r="A23" s="111"/>
      <c r="B23" s="111"/>
    </row>
    <row r="24" spans="1:8" ht="18.75" customHeight="1" x14ac:dyDescent="0.3">
      <c r="A24" s="111"/>
      <c r="B24" s="111"/>
    </row>
    <row r="25" spans="1:8" ht="18.75" customHeight="1" x14ac:dyDescent="0.3">
      <c r="A25" s="111"/>
      <c r="B25" s="111"/>
    </row>
    <row r="26" spans="1:8" ht="18.75" customHeight="1" x14ac:dyDescent="0.3">
      <c r="A26" s="111"/>
      <c r="B26" s="111"/>
    </row>
    <row r="27" spans="1:8" ht="18.75" customHeight="1" x14ac:dyDescent="0.3">
      <c r="A27" s="111"/>
      <c r="B27" s="111"/>
    </row>
    <row r="28" spans="1:8" ht="18.75" customHeight="1" x14ac:dyDescent="0.3">
      <c r="A28" s="111"/>
      <c r="B28" s="111"/>
    </row>
    <row r="29" spans="1:8" ht="18.75" customHeight="1" x14ac:dyDescent="0.3">
      <c r="A29" s="111"/>
      <c r="B29" s="111"/>
    </row>
    <row r="30" spans="1:8" ht="18.75" customHeight="1" x14ac:dyDescent="0.3">
      <c r="A30" s="111"/>
      <c r="B30" s="111"/>
    </row>
    <row r="31" spans="1:8" ht="18.75" customHeight="1" x14ac:dyDescent="0.3">
      <c r="A31" s="111"/>
      <c r="B31" s="111"/>
    </row>
    <row r="32" spans="1:8" ht="18.75" customHeight="1" x14ac:dyDescent="0.3">
      <c r="A32" s="111"/>
      <c r="B32" s="111"/>
    </row>
    <row r="33" spans="1:2" ht="18.75" customHeight="1" x14ac:dyDescent="0.3">
      <c r="A33" s="111"/>
      <c r="B33" s="111"/>
    </row>
  </sheetData>
  <sortState ref="A5:E13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"/>
  <sheetViews>
    <sheetView workbookViewId="0"/>
  </sheetViews>
  <sheetFormatPr defaultRowHeight="18.75" customHeight="1" x14ac:dyDescent="0.2"/>
  <cols>
    <col min="1" max="1" width="34.28515625" style="3" bestFit="1" customWidth="1"/>
    <col min="2" max="5" width="10.7109375" style="1" hidden="1" customWidth="1"/>
    <col min="6" max="6" width="10.7109375" style="1" customWidth="1"/>
    <col min="7" max="8" width="11.42578125" style="1" customWidth="1"/>
    <col min="9" max="16384" width="9.140625" style="1"/>
  </cols>
  <sheetData>
    <row r="1" spans="1:8" s="2" customFormat="1" ht="18.75" customHeight="1" x14ac:dyDescent="0.25">
      <c r="A1" s="580" t="s">
        <v>536</v>
      </c>
      <c r="B1" s="91"/>
      <c r="C1" s="91"/>
      <c r="D1" s="91"/>
      <c r="E1" s="91"/>
      <c r="F1" s="91"/>
      <c r="G1" s="91"/>
      <c r="H1" s="91"/>
    </row>
    <row r="2" spans="1:8" ht="18.75" customHeight="1" x14ac:dyDescent="0.25">
      <c r="A2" s="67"/>
      <c r="B2" s="51"/>
      <c r="C2" s="51"/>
      <c r="D2" s="51"/>
      <c r="E2" s="51"/>
      <c r="F2" s="51"/>
      <c r="G2" s="51"/>
      <c r="H2" s="51"/>
    </row>
    <row r="3" spans="1:8" s="2" customFormat="1" ht="18.75" customHeight="1" x14ac:dyDescent="0.25">
      <c r="A3" s="29" t="s">
        <v>130</v>
      </c>
      <c r="B3" s="32">
        <v>2010</v>
      </c>
      <c r="C3" s="32">
        <v>2013</v>
      </c>
      <c r="D3" s="32">
        <v>2014</v>
      </c>
      <c r="E3" s="32">
        <v>2015</v>
      </c>
      <c r="F3" s="32">
        <v>2016</v>
      </c>
      <c r="G3" s="32">
        <v>2017</v>
      </c>
      <c r="H3" s="32">
        <v>2018</v>
      </c>
    </row>
    <row r="4" spans="1:8" s="6" customFormat="1" ht="18.75" customHeight="1" x14ac:dyDescent="0.3">
      <c r="A4" s="886"/>
      <c r="B4" s="101"/>
      <c r="C4" s="101"/>
      <c r="D4" s="101"/>
      <c r="E4" s="101"/>
      <c r="F4" s="722"/>
      <c r="G4" s="722"/>
      <c r="H4" s="722"/>
    </row>
    <row r="5" spans="1:8" ht="18.75" customHeight="1" x14ac:dyDescent="0.3">
      <c r="A5" s="268" t="s">
        <v>357</v>
      </c>
      <c r="B5" s="42">
        <v>24000</v>
      </c>
      <c r="C5" s="42">
        <v>23253</v>
      </c>
      <c r="D5" s="551">
        <f>C5*1.05</f>
        <v>24415.65</v>
      </c>
      <c r="E5" s="551">
        <v>23800</v>
      </c>
      <c r="F5" s="685">
        <v>26180</v>
      </c>
      <c r="G5" s="685">
        <v>28798</v>
      </c>
      <c r="H5" s="685">
        <v>28500</v>
      </c>
    </row>
    <row r="6" spans="1:8" ht="18.75" customHeight="1" x14ac:dyDescent="0.3">
      <c r="A6" s="268" t="s">
        <v>356</v>
      </c>
      <c r="B6" s="42"/>
      <c r="C6" s="42"/>
      <c r="D6" s="42"/>
      <c r="E6" s="42"/>
      <c r="F6" s="686"/>
      <c r="G6" s="685"/>
      <c r="H6" s="685"/>
    </row>
    <row r="7" spans="1:8" ht="18.75" customHeight="1" x14ac:dyDescent="0.3">
      <c r="A7" s="68"/>
      <c r="B7" s="42"/>
      <c r="C7" s="42"/>
      <c r="D7" s="42"/>
      <c r="E7" s="42"/>
      <c r="F7" s="686"/>
      <c r="G7" s="685"/>
      <c r="H7" s="685"/>
    </row>
    <row r="8" spans="1:8" ht="18.75" customHeight="1" x14ac:dyDescent="0.3">
      <c r="A8" s="285"/>
      <c r="B8" s="42"/>
      <c r="C8" s="42"/>
      <c r="D8" s="42"/>
      <c r="E8" s="42"/>
      <c r="F8" s="686"/>
      <c r="G8" s="685"/>
      <c r="H8" s="685"/>
    </row>
    <row r="9" spans="1:8" ht="18.75" customHeight="1" x14ac:dyDescent="0.3">
      <c r="A9" s="68"/>
      <c r="B9" s="180"/>
      <c r="C9" s="42"/>
      <c r="D9" s="42"/>
      <c r="E9" s="42"/>
      <c r="F9" s="686"/>
      <c r="G9" s="685"/>
      <c r="H9" s="685"/>
    </row>
    <row r="10" spans="1:8" ht="18.75" customHeight="1" thickBot="1" x14ac:dyDescent="0.35">
      <c r="A10" s="68"/>
      <c r="B10" s="291">
        <v>-5480</v>
      </c>
      <c r="C10" s="43"/>
      <c r="D10" s="43"/>
      <c r="E10" s="43"/>
      <c r="F10" s="687"/>
      <c r="G10" s="688"/>
      <c r="H10" s="688"/>
    </row>
    <row r="11" spans="1:8" s="2" customFormat="1" ht="18.75" customHeight="1" thickTop="1" x14ac:dyDescent="0.3">
      <c r="A11" s="184" t="s">
        <v>128</v>
      </c>
      <c r="B11" s="44">
        <f t="shared" ref="B11:H11" si="0">SUM(B4:B10)</f>
        <v>18520</v>
      </c>
      <c r="C11" s="44">
        <f t="shared" si="0"/>
        <v>23253</v>
      </c>
      <c r="D11" s="44">
        <f t="shared" si="0"/>
        <v>24415.65</v>
      </c>
      <c r="E11" s="44">
        <f t="shared" si="0"/>
        <v>23800</v>
      </c>
      <c r="F11" s="689">
        <f t="shared" si="0"/>
        <v>26180</v>
      </c>
      <c r="G11" s="690">
        <f t="shared" ref="G11" si="1">SUM(G4:G10)</f>
        <v>28798</v>
      </c>
      <c r="H11" s="690">
        <f t="shared" si="0"/>
        <v>28500</v>
      </c>
    </row>
    <row r="12" spans="1:8" ht="18.75" customHeight="1" x14ac:dyDescent="0.25">
      <c r="A12" s="24"/>
      <c r="B12" s="26"/>
      <c r="C12" s="26"/>
    </row>
    <row r="13" spans="1:8" ht="18.75" customHeight="1" x14ac:dyDescent="0.25">
      <c r="A13" s="261"/>
      <c r="B13" s="26"/>
      <c r="C13" s="26"/>
    </row>
    <row r="14" spans="1:8" ht="18.75" customHeight="1" x14ac:dyDescent="0.3">
      <c r="A14" s="236"/>
      <c r="B14" s="26"/>
      <c r="C14" s="26"/>
    </row>
    <row r="15" spans="1:8" ht="18.75" customHeight="1" x14ac:dyDescent="0.3">
      <c r="A15" s="236"/>
      <c r="B15" s="26"/>
      <c r="C15" s="26"/>
    </row>
    <row r="16" spans="1:8" ht="18.75" customHeight="1" x14ac:dyDescent="0.25">
      <c r="A16" s="95"/>
      <c r="B16" s="26"/>
    </row>
    <row r="17" spans="1:8" ht="18.75" customHeight="1" x14ac:dyDescent="0.25">
      <c r="A17" s="95"/>
      <c r="B17" s="26"/>
    </row>
    <row r="18" spans="1:8" ht="18.75" customHeight="1" x14ac:dyDescent="0.25">
      <c r="A18" s="95"/>
    </row>
    <row r="19" spans="1:8" ht="18.75" customHeight="1" x14ac:dyDescent="0.3">
      <c r="A19" s="17"/>
    </row>
    <row r="20" spans="1:8" ht="18.75" customHeight="1" x14ac:dyDescent="0.3">
      <c r="B20" s="27"/>
      <c r="C20" s="27"/>
      <c r="D20" s="27"/>
      <c r="E20" s="27"/>
      <c r="F20" s="27"/>
      <c r="G20" s="27"/>
      <c r="H20" s="27"/>
    </row>
    <row r="21" spans="1:8" ht="18.75" customHeight="1" x14ac:dyDescent="0.3">
      <c r="A21" s="17"/>
      <c r="B21" s="27"/>
      <c r="C21" s="27"/>
      <c r="D21" s="27"/>
      <c r="E21" s="27"/>
      <c r="F21" s="27"/>
      <c r="G21" s="27"/>
      <c r="H21" s="27"/>
    </row>
    <row r="22" spans="1:8" ht="18.75" customHeight="1" x14ac:dyDescent="0.3">
      <c r="A22" s="17"/>
      <c r="B22" s="27"/>
      <c r="C22" s="27"/>
      <c r="D22" s="27"/>
      <c r="E22" s="27"/>
      <c r="F22" s="27"/>
      <c r="G22" s="27"/>
      <c r="H22" s="27"/>
    </row>
    <row r="23" spans="1:8" ht="18.75" customHeight="1" x14ac:dyDescent="0.3">
      <c r="A23" s="17"/>
      <c r="B23" s="27"/>
      <c r="C23" s="27"/>
      <c r="D23" s="27"/>
      <c r="E23" s="27"/>
      <c r="F23" s="27"/>
      <c r="G23" s="27"/>
      <c r="H23" s="27"/>
    </row>
    <row r="24" spans="1:8" ht="18.75" customHeight="1" x14ac:dyDescent="0.3">
      <c r="A24" s="17"/>
      <c r="B24" s="27"/>
      <c r="C24" s="27"/>
      <c r="D24" s="27"/>
      <c r="E24" s="27"/>
      <c r="F24" s="27"/>
      <c r="G24" s="27"/>
      <c r="H24" s="27"/>
    </row>
    <row r="25" spans="1:8" ht="18.75" customHeight="1" x14ac:dyDescent="0.3">
      <c r="A25" s="17"/>
      <c r="B25" s="27"/>
      <c r="C25" s="27"/>
      <c r="D25" s="27"/>
      <c r="E25" s="27"/>
      <c r="F25" s="27"/>
      <c r="G25" s="27"/>
      <c r="H25" s="27"/>
    </row>
    <row r="26" spans="1:8" ht="18.75" customHeight="1" x14ac:dyDescent="0.3">
      <c r="A26" s="17"/>
      <c r="B26" s="27"/>
      <c r="C26" s="27"/>
      <c r="D26" s="27"/>
      <c r="E26" s="27"/>
      <c r="F26" s="27"/>
      <c r="G26" s="27"/>
      <c r="H26" s="27"/>
    </row>
    <row r="27" spans="1:8" ht="18.75" customHeight="1" x14ac:dyDescent="0.3">
      <c r="A27" s="17"/>
      <c r="B27" s="27"/>
      <c r="C27" s="27"/>
      <c r="D27" s="27"/>
      <c r="E27" s="27"/>
      <c r="F27" s="27"/>
      <c r="G27" s="27"/>
      <c r="H27" s="27"/>
    </row>
    <row r="28" spans="1:8" ht="18.75" customHeight="1" x14ac:dyDescent="0.3">
      <c r="A28" s="17"/>
      <c r="B28" s="27"/>
      <c r="C28" s="27"/>
      <c r="D28" s="27"/>
      <c r="E28" s="27"/>
      <c r="F28" s="27"/>
      <c r="G28" s="27"/>
      <c r="H28" s="27"/>
    </row>
    <row r="29" spans="1:8" ht="18.75" customHeight="1" x14ac:dyDescent="0.3">
      <c r="A29" s="17"/>
      <c r="B29" s="27"/>
      <c r="C29" s="27"/>
      <c r="D29" s="27"/>
      <c r="E29" s="27"/>
      <c r="F29" s="27"/>
      <c r="G29" s="27"/>
      <c r="H29" s="27"/>
    </row>
    <row r="30" spans="1:8" ht="18.75" customHeight="1" x14ac:dyDescent="0.3">
      <c r="A30" s="17"/>
      <c r="B30" s="27"/>
      <c r="C30" s="27"/>
      <c r="D30" s="27"/>
      <c r="E30" s="27"/>
      <c r="F30" s="27"/>
      <c r="G30" s="27"/>
      <c r="H30" s="27"/>
    </row>
    <row r="31" spans="1:8" ht="18.75" customHeight="1" x14ac:dyDescent="0.3">
      <c r="A31" s="17"/>
      <c r="B31" s="27"/>
      <c r="C31" s="27"/>
      <c r="D31" s="27"/>
      <c r="E31" s="27"/>
      <c r="F31" s="27"/>
      <c r="G31" s="27"/>
      <c r="H31" s="27"/>
    </row>
    <row r="32" spans="1:8" ht="18.75" customHeight="1" x14ac:dyDescent="0.3">
      <c r="A32" s="17"/>
      <c r="B32" s="27"/>
      <c r="C32" s="27"/>
      <c r="D32" s="27"/>
      <c r="E32" s="27"/>
      <c r="F32" s="27"/>
      <c r="G32" s="27"/>
      <c r="H32" s="27"/>
    </row>
    <row r="33" spans="1:8" ht="18.75" customHeight="1" x14ac:dyDescent="0.3">
      <c r="A33" s="17"/>
      <c r="B33" s="27"/>
      <c r="C33" s="27"/>
      <c r="D33" s="27"/>
      <c r="E33" s="27"/>
      <c r="F33" s="27"/>
      <c r="G33" s="27"/>
      <c r="H33" s="27"/>
    </row>
    <row r="34" spans="1:8" ht="18.75" customHeight="1" x14ac:dyDescent="0.3">
      <c r="A34" s="17"/>
      <c r="B34" s="27"/>
      <c r="C34" s="27"/>
      <c r="D34" s="27"/>
      <c r="E34" s="27"/>
      <c r="F34" s="27"/>
      <c r="G34" s="27"/>
      <c r="H34" s="27"/>
    </row>
    <row r="35" spans="1:8" ht="18.75" customHeight="1" x14ac:dyDescent="0.3">
      <c r="A35" s="97"/>
      <c r="B35" s="27"/>
      <c r="C35" s="27"/>
      <c r="D35" s="27"/>
      <c r="E35" s="27"/>
      <c r="F35" s="27"/>
      <c r="G35" s="27"/>
      <c r="H35" s="27"/>
    </row>
    <row r="36" spans="1:8" ht="18.75" customHeight="1" x14ac:dyDescent="0.3">
      <c r="A36" s="97"/>
      <c r="B36" s="27"/>
      <c r="C36" s="27"/>
      <c r="D36" s="27"/>
      <c r="E36" s="27"/>
      <c r="F36" s="27"/>
      <c r="G36" s="27"/>
      <c r="H36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31"/>
  <sheetViews>
    <sheetView workbookViewId="0"/>
  </sheetViews>
  <sheetFormatPr defaultRowHeight="18.75" customHeight="1" x14ac:dyDescent="0.3"/>
  <cols>
    <col min="1" max="1" width="34.85546875" style="97" customWidth="1"/>
    <col min="2" max="5" width="10.7109375" style="27" hidden="1" customWidth="1"/>
    <col min="6" max="8" width="10.7109375" style="27" customWidth="1"/>
    <col min="9" max="16384" width="9.140625" style="27"/>
  </cols>
  <sheetData>
    <row r="1" spans="1:8" s="46" customFormat="1" ht="18.75" customHeight="1" x14ac:dyDescent="0.3">
      <c r="A1" s="216" t="s">
        <v>579</v>
      </c>
      <c r="B1" s="203"/>
      <c r="C1" s="190"/>
      <c r="D1" s="190"/>
      <c r="E1" s="190"/>
      <c r="F1" s="190"/>
      <c r="G1" s="190"/>
      <c r="H1" s="190"/>
    </row>
    <row r="2" spans="1:8" ht="18.75" customHeight="1" x14ac:dyDescent="0.3">
      <c r="A2" s="98"/>
      <c r="B2" s="49"/>
      <c r="C2" s="98"/>
      <c r="D2" s="98"/>
      <c r="E2" s="98"/>
      <c r="F2" s="98"/>
      <c r="G2" s="98"/>
      <c r="H2" s="98"/>
    </row>
    <row r="3" spans="1:8" s="46" customFormat="1" ht="18.75" customHeight="1" x14ac:dyDescent="0.3">
      <c r="A3" s="41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23" customFormat="1" ht="18.75" customHeight="1" x14ac:dyDescent="0.3">
      <c r="A4" s="469"/>
      <c r="B4" s="246"/>
      <c r="C4" s="246"/>
      <c r="D4" s="246"/>
      <c r="E4" s="246"/>
      <c r="F4" s="722"/>
      <c r="G4" s="722"/>
      <c r="H4" s="722"/>
    </row>
    <row r="5" spans="1:8" s="46" customFormat="1" ht="18.75" hidden="1" customHeight="1" x14ac:dyDescent="0.3">
      <c r="A5" s="63" t="s">
        <v>321</v>
      </c>
      <c r="B5" s="62">
        <v>400</v>
      </c>
      <c r="C5" s="62"/>
      <c r="D5" s="62"/>
      <c r="E5" s="62"/>
      <c r="F5" s="675"/>
      <c r="G5" s="675"/>
      <c r="H5" s="675"/>
    </row>
    <row r="6" spans="1:8" ht="18.75" customHeight="1" x14ac:dyDescent="0.3">
      <c r="A6" s="63" t="s">
        <v>619</v>
      </c>
      <c r="B6" s="62">
        <v>400</v>
      </c>
      <c r="C6" s="62"/>
      <c r="D6" s="197">
        <v>1700</v>
      </c>
      <c r="E6" s="197">
        <v>4400</v>
      </c>
      <c r="F6" s="676">
        <v>5000</v>
      </c>
      <c r="G6" s="676">
        <f>2000*2</f>
        <v>4000</v>
      </c>
      <c r="H6" s="676">
        <f>2200*2</f>
        <v>4400</v>
      </c>
    </row>
    <row r="7" spans="1:8" s="46" customFormat="1" ht="18.75" customHeight="1" x14ac:dyDescent="0.3">
      <c r="A7" s="63" t="s">
        <v>191</v>
      </c>
      <c r="B7" s="42">
        <v>600</v>
      </c>
      <c r="C7" s="42">
        <v>400</v>
      </c>
      <c r="D7" s="42">
        <v>500</v>
      </c>
      <c r="E7" s="42">
        <v>500</v>
      </c>
      <c r="F7" s="686">
        <v>800</v>
      </c>
      <c r="G7" s="686">
        <v>1000</v>
      </c>
      <c r="H7" s="686">
        <v>1000</v>
      </c>
    </row>
    <row r="8" spans="1:8" ht="16.5" customHeight="1" x14ac:dyDescent="0.3">
      <c r="A8" s="63" t="s">
        <v>585</v>
      </c>
      <c r="B8" s="42">
        <v>1000</v>
      </c>
      <c r="C8" s="42">
        <v>500</v>
      </c>
      <c r="D8" s="42">
        <v>600</v>
      </c>
      <c r="E8" s="42">
        <v>600</v>
      </c>
      <c r="F8" s="686">
        <v>1000</v>
      </c>
      <c r="G8" s="686">
        <v>1500</v>
      </c>
      <c r="H8" s="686">
        <v>2100</v>
      </c>
    </row>
    <row r="9" spans="1:8" ht="16.5" x14ac:dyDescent="0.3">
      <c r="A9" s="63" t="s">
        <v>113</v>
      </c>
      <c r="B9" s="42"/>
      <c r="C9" s="42">
        <v>100</v>
      </c>
      <c r="D9" s="42">
        <v>100</v>
      </c>
      <c r="E9" s="42">
        <v>100</v>
      </c>
      <c r="F9" s="686">
        <v>100</v>
      </c>
      <c r="G9" s="686">
        <v>200</v>
      </c>
      <c r="H9" s="686">
        <v>200</v>
      </c>
    </row>
    <row r="10" spans="1:8" ht="16.5" x14ac:dyDescent="0.3">
      <c r="A10" s="63" t="s">
        <v>632</v>
      </c>
      <c r="B10" s="62"/>
      <c r="C10" s="62"/>
      <c r="D10" s="62"/>
      <c r="E10" s="62"/>
      <c r="F10" s="675">
        <v>2000</v>
      </c>
      <c r="G10" s="675">
        <v>2500</v>
      </c>
      <c r="H10" s="675">
        <v>3000</v>
      </c>
    </row>
    <row r="11" spans="1:8" ht="16.5" customHeight="1" x14ac:dyDescent="0.3">
      <c r="A11" s="63" t="s">
        <v>633</v>
      </c>
      <c r="B11" s="107"/>
      <c r="C11" s="107"/>
      <c r="D11" s="107"/>
      <c r="E11" s="107"/>
      <c r="F11" s="765">
        <v>2000</v>
      </c>
      <c r="G11" s="765">
        <v>2000</v>
      </c>
      <c r="H11" s="765">
        <v>2000</v>
      </c>
    </row>
    <row r="12" spans="1:8" ht="16.5" customHeight="1" x14ac:dyDescent="0.3">
      <c r="A12" s="63" t="s">
        <v>742</v>
      </c>
      <c r="B12" s="107"/>
      <c r="C12" s="107"/>
      <c r="D12" s="107"/>
      <c r="E12" s="107"/>
      <c r="F12" s="765">
        <v>0</v>
      </c>
      <c r="G12" s="765">
        <v>0</v>
      </c>
      <c r="H12" s="765">
        <v>3000</v>
      </c>
    </row>
    <row r="13" spans="1:8" ht="16.5" customHeight="1" x14ac:dyDescent="0.3">
      <c r="A13" s="63"/>
      <c r="B13" s="107"/>
      <c r="C13" s="107"/>
      <c r="D13" s="107"/>
      <c r="E13" s="107"/>
      <c r="F13" s="765"/>
      <c r="G13" s="765"/>
      <c r="H13" s="765"/>
    </row>
    <row r="14" spans="1:8" ht="16.5" customHeight="1" x14ac:dyDescent="0.3">
      <c r="A14" s="63"/>
      <c r="B14" s="107">
        <v>-1000</v>
      </c>
      <c r="C14" s="107"/>
      <c r="D14" s="107"/>
      <c r="E14" s="107"/>
      <c r="F14" s="765"/>
      <c r="G14" s="765"/>
      <c r="H14" s="765"/>
    </row>
    <row r="15" spans="1:8" ht="18.75" customHeight="1" x14ac:dyDescent="0.3">
      <c r="A15" s="221" t="s">
        <v>128</v>
      </c>
      <c r="B15" s="470">
        <f t="shared" ref="B15:H15" si="0">SUM(B5:B14)</f>
        <v>1400</v>
      </c>
      <c r="C15" s="470">
        <f t="shared" si="0"/>
        <v>1000</v>
      </c>
      <c r="D15" s="470">
        <f t="shared" si="0"/>
        <v>2900</v>
      </c>
      <c r="E15" s="470">
        <f t="shared" si="0"/>
        <v>5600</v>
      </c>
      <c r="F15" s="795">
        <f t="shared" si="0"/>
        <v>10900</v>
      </c>
      <c r="G15" s="795">
        <f t="shared" ref="G15" si="1">SUM(G5:G14)</f>
        <v>11200</v>
      </c>
      <c r="H15" s="795">
        <f t="shared" si="0"/>
        <v>15700</v>
      </c>
    </row>
    <row r="16" spans="1:8" ht="18.75" customHeight="1" x14ac:dyDescent="0.3">
      <c r="A16" s="27"/>
      <c r="B16" s="111"/>
      <c r="C16" s="111"/>
      <c r="D16" s="111"/>
    </row>
    <row r="17" spans="1:2" ht="18.75" customHeight="1" x14ac:dyDescent="0.3">
      <c r="A17" s="27"/>
      <c r="B17" s="111"/>
    </row>
    <row r="18" spans="1:2" ht="18.75" customHeight="1" x14ac:dyDescent="0.3">
      <c r="A18" s="27"/>
      <c r="B18" s="111"/>
    </row>
    <row r="19" spans="1:2" ht="18.75" customHeight="1" x14ac:dyDescent="0.3">
      <c r="A19" s="111"/>
    </row>
    <row r="20" spans="1:2" ht="18.75" customHeight="1" x14ac:dyDescent="0.3">
      <c r="A20" s="111"/>
    </row>
    <row r="21" spans="1:2" ht="18.75" customHeight="1" x14ac:dyDescent="0.3">
      <c r="A21" s="111"/>
    </row>
    <row r="22" spans="1:2" ht="18.75" customHeight="1" x14ac:dyDescent="0.3">
      <c r="A22" s="111"/>
    </row>
    <row r="23" spans="1:2" ht="18.75" customHeight="1" x14ac:dyDescent="0.3">
      <c r="A23" s="111"/>
    </row>
    <row r="24" spans="1:2" ht="18.75" customHeight="1" x14ac:dyDescent="0.3">
      <c r="A24" s="111"/>
    </row>
    <row r="25" spans="1:2" ht="18.75" customHeight="1" x14ac:dyDescent="0.3">
      <c r="A25" s="111"/>
    </row>
    <row r="26" spans="1:2" ht="18.75" customHeight="1" x14ac:dyDescent="0.3">
      <c r="A26" s="111"/>
    </row>
    <row r="27" spans="1:2" ht="18.75" customHeight="1" x14ac:dyDescent="0.3">
      <c r="A27" s="111"/>
    </row>
    <row r="28" spans="1:2" ht="18.75" customHeight="1" x14ac:dyDescent="0.3">
      <c r="A28" s="111"/>
    </row>
    <row r="29" spans="1:2" ht="18.75" customHeight="1" x14ac:dyDescent="0.3">
      <c r="A29" s="111"/>
    </row>
    <row r="30" spans="1:2" ht="18.75" customHeight="1" x14ac:dyDescent="0.3">
      <c r="A30" s="111"/>
    </row>
    <row r="31" spans="1:2" ht="18.75" customHeight="1" x14ac:dyDescent="0.3">
      <c r="A31" s="111"/>
    </row>
  </sheetData>
  <sortState ref="A5:E10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zoomScaleNormal="100" workbookViewId="0">
      <pane ySplit="3" topLeftCell="A4" activePane="bottomLeft" state="frozen"/>
      <selection pane="bottomLeft"/>
    </sheetView>
  </sheetViews>
  <sheetFormatPr defaultRowHeight="18.75" customHeight="1" x14ac:dyDescent="0.25"/>
  <cols>
    <col min="1" max="1" width="39.5703125" style="60" customWidth="1"/>
    <col min="2" max="3" width="9.28515625" style="26" hidden="1" customWidth="1"/>
    <col min="4" max="4" width="0" style="26" hidden="1" customWidth="1"/>
    <col min="5" max="5" width="8.85546875" style="26" hidden="1" customWidth="1"/>
    <col min="6" max="7" width="9.5703125" style="26" bestFit="1" customWidth="1"/>
    <col min="8" max="8" width="9.28515625" style="26" bestFit="1" customWidth="1"/>
    <col min="9" max="9" width="9.7109375" style="26" customWidth="1"/>
    <col min="10" max="10" width="11.28515625" style="26" bestFit="1" customWidth="1"/>
    <col min="11" max="16384" width="9.140625" style="26"/>
  </cols>
  <sheetData>
    <row r="1" spans="1:10" s="93" customFormat="1" ht="18.75" customHeight="1" x14ac:dyDescent="0.25">
      <c r="A1" s="579" t="s">
        <v>203</v>
      </c>
      <c r="B1" s="209"/>
      <c r="C1" s="209"/>
      <c r="D1" s="91"/>
      <c r="E1" s="547"/>
      <c r="F1" s="547"/>
      <c r="G1" s="209"/>
      <c r="H1" s="209"/>
      <c r="I1" s="210"/>
    </row>
    <row r="2" spans="1:10" ht="18.75" customHeight="1" x14ac:dyDescent="0.3">
      <c r="A2" s="126"/>
      <c r="B2" s="67"/>
      <c r="C2" s="67"/>
      <c r="D2" s="51"/>
      <c r="E2" s="548"/>
      <c r="F2" s="548"/>
      <c r="G2" s="67"/>
      <c r="H2" s="67"/>
      <c r="I2" s="211"/>
    </row>
    <row r="3" spans="1:10" s="93" customFormat="1" ht="18.75" customHeight="1" x14ac:dyDescent="0.3">
      <c r="A3" s="37" t="s">
        <v>130</v>
      </c>
      <c r="B3" s="32">
        <v>2010</v>
      </c>
      <c r="C3" s="32">
        <v>2013</v>
      </c>
      <c r="D3" s="549">
        <v>2014</v>
      </c>
      <c r="E3" s="549">
        <v>2015</v>
      </c>
      <c r="F3" s="549">
        <v>2016</v>
      </c>
      <c r="G3" s="549">
        <v>2017</v>
      </c>
      <c r="H3" s="984">
        <v>2018</v>
      </c>
      <c r="I3" s="985"/>
    </row>
    <row r="4" spans="1:10" s="93" customFormat="1" ht="16.5" x14ac:dyDescent="0.3">
      <c r="A4" s="131"/>
      <c r="B4" s="51"/>
      <c r="C4" s="51"/>
      <c r="D4" s="548"/>
      <c r="E4" s="548"/>
      <c r="F4" s="548"/>
      <c r="G4" s="67"/>
      <c r="H4" s="67"/>
      <c r="I4" s="211"/>
    </row>
    <row r="5" spans="1:10" s="93" customFormat="1" ht="37.5" x14ac:dyDescent="0.45">
      <c r="A5" s="37"/>
      <c r="B5" s="692" t="s">
        <v>346</v>
      </c>
      <c r="C5" s="692" t="s">
        <v>346</v>
      </c>
      <c r="D5" s="693" t="s">
        <v>346</v>
      </c>
      <c r="E5" s="693" t="s">
        <v>346</v>
      </c>
      <c r="F5" s="693" t="s">
        <v>346</v>
      </c>
      <c r="G5" s="693" t="s">
        <v>346</v>
      </c>
      <c r="H5" s="694" t="s">
        <v>210</v>
      </c>
      <c r="I5" s="695" t="s">
        <v>211</v>
      </c>
    </row>
    <row r="6" spans="1:10" s="93" customFormat="1" ht="18.75" customHeight="1" x14ac:dyDescent="0.3">
      <c r="A6" s="38"/>
      <c r="B6" s="42"/>
      <c r="C6" s="42"/>
      <c r="D6" s="696"/>
      <c r="E6" s="696"/>
      <c r="F6" s="697"/>
      <c r="G6" s="698"/>
      <c r="H6" s="698"/>
      <c r="I6" s="699"/>
    </row>
    <row r="7" spans="1:10" s="93" customFormat="1" ht="18.75" customHeight="1" x14ac:dyDescent="0.3">
      <c r="A7" s="39"/>
      <c r="B7" s="42"/>
      <c r="C7" s="42"/>
      <c r="D7" s="696"/>
      <c r="E7" s="696"/>
      <c r="F7" s="697"/>
      <c r="G7" s="698"/>
      <c r="H7" s="698"/>
      <c r="I7" s="699"/>
    </row>
    <row r="8" spans="1:10" s="93" customFormat="1" ht="18.75" customHeight="1" x14ac:dyDescent="0.3">
      <c r="A8" s="38" t="s">
        <v>78</v>
      </c>
      <c r="B8" s="42">
        <v>90983.05</v>
      </c>
      <c r="C8" s="696">
        <f>75858.38+15124.67</f>
        <v>90983.05</v>
      </c>
      <c r="D8" s="696">
        <v>90982</v>
      </c>
      <c r="E8" s="696">
        <v>90982</v>
      </c>
      <c r="F8" s="697">
        <f>86940+4043</f>
        <v>90983</v>
      </c>
      <c r="G8" s="700"/>
      <c r="H8" s="700"/>
      <c r="I8" s="701"/>
      <c r="J8" s="557"/>
    </row>
    <row r="9" spans="1:10" s="93" customFormat="1" ht="18.75" customHeight="1" x14ac:dyDescent="0.3">
      <c r="A9" s="69" t="s">
        <v>290</v>
      </c>
      <c r="B9" s="62">
        <v>40462.18</v>
      </c>
      <c r="C9" s="702">
        <f>24672.6+15244.87</f>
        <v>39917.47</v>
      </c>
      <c r="D9" s="62">
        <v>39917</v>
      </c>
      <c r="E9" s="62">
        <f>26307+13610</f>
        <v>39917</v>
      </c>
      <c r="F9" s="703">
        <f>27130+12787</f>
        <v>39917</v>
      </c>
      <c r="G9" s="704"/>
      <c r="H9" s="704"/>
      <c r="I9" s="705"/>
      <c r="J9" s="557"/>
    </row>
    <row r="10" spans="1:10" ht="18.75" hidden="1" customHeight="1" x14ac:dyDescent="0.3">
      <c r="A10" s="38" t="s">
        <v>586</v>
      </c>
      <c r="B10" s="62"/>
      <c r="C10" s="702">
        <f>3979.9+340.1</f>
        <v>4320</v>
      </c>
      <c r="D10" s="702">
        <v>2521</v>
      </c>
      <c r="E10" s="990" t="s">
        <v>514</v>
      </c>
      <c r="F10" s="706"/>
      <c r="G10" s="706"/>
      <c r="H10" s="988" t="s">
        <v>514</v>
      </c>
      <c r="I10" s="989"/>
      <c r="J10" s="558"/>
    </row>
    <row r="11" spans="1:10" ht="18.75" hidden="1" customHeight="1" x14ac:dyDescent="0.3">
      <c r="A11" s="38"/>
      <c r="B11" s="62"/>
      <c r="C11" s="702"/>
      <c r="D11" s="62"/>
      <c r="E11" s="991"/>
      <c r="F11" s="707"/>
      <c r="G11" s="708"/>
      <c r="H11" s="708"/>
      <c r="I11" s="709"/>
    </row>
    <row r="12" spans="1:10" ht="18.75" customHeight="1" x14ac:dyDescent="0.3">
      <c r="A12" s="38" t="s">
        <v>587</v>
      </c>
      <c r="B12" s="62"/>
      <c r="C12" s="702"/>
      <c r="D12" s="710">
        <f>(110000*2)+70000</f>
        <v>290000</v>
      </c>
      <c r="E12" s="710"/>
      <c r="F12" s="711">
        <v>775000</v>
      </c>
      <c r="G12" s="708">
        <v>695000</v>
      </c>
      <c r="H12" s="708"/>
      <c r="I12" s="709"/>
    </row>
    <row r="13" spans="1:10" ht="18.75" customHeight="1" thickBot="1" x14ac:dyDescent="0.35">
      <c r="A13" s="712"/>
      <c r="B13" s="713">
        <v>1800</v>
      </c>
      <c r="C13" s="714"/>
      <c r="D13" s="714"/>
      <c r="E13" s="714"/>
      <c r="F13" s="715"/>
      <c r="G13" s="716"/>
      <c r="H13" s="716"/>
      <c r="I13" s="717"/>
    </row>
    <row r="14" spans="1:10" s="93" customFormat="1" ht="17.25" thickTop="1" x14ac:dyDescent="0.3">
      <c r="A14" s="88" t="s">
        <v>128</v>
      </c>
      <c r="B14" s="89">
        <f t="shared" ref="B14" si="0">SUM(B6:B13)</f>
        <v>133245.23000000001</v>
      </c>
      <c r="C14" s="89">
        <f>SUM(C6:C13)</f>
        <v>135220.52000000002</v>
      </c>
      <c r="D14" s="89">
        <f>SUM(D6:D13)</f>
        <v>423420</v>
      </c>
      <c r="E14" s="718">
        <f>SUM(E6:E13)</f>
        <v>130899</v>
      </c>
      <c r="F14" s="719">
        <f>SUM(F8:F12)</f>
        <v>905900</v>
      </c>
      <c r="G14" s="720">
        <f>SUM(G6:G13)</f>
        <v>695000</v>
      </c>
      <c r="H14" s="720">
        <f>SUM(H6:H13)</f>
        <v>0</v>
      </c>
      <c r="I14" s="721">
        <f>SUM(I6:I13)</f>
        <v>0</v>
      </c>
    </row>
    <row r="15" spans="1:10" ht="32.25" customHeight="1" x14ac:dyDescent="0.3">
      <c r="A15" s="97"/>
      <c r="F15" s="691"/>
      <c r="G15" s="691"/>
      <c r="H15" s="986" t="s">
        <v>404</v>
      </c>
      <c r="I15" s="986"/>
    </row>
    <row r="16" spans="1:10" ht="18.75" customHeight="1" x14ac:dyDescent="0.25">
      <c r="F16" s="691"/>
      <c r="G16" s="691"/>
      <c r="H16" s="987">
        <f>H14+I14</f>
        <v>0</v>
      </c>
      <c r="I16" s="987"/>
    </row>
    <row r="17" spans="1:1" ht="18.75" customHeight="1" x14ac:dyDescent="0.25">
      <c r="A17" s="90" t="s">
        <v>701</v>
      </c>
    </row>
    <row r="18" spans="1:1" ht="18.75" customHeight="1" x14ac:dyDescent="0.25">
      <c r="A18" s="90" t="s">
        <v>702</v>
      </c>
    </row>
    <row r="19" spans="1:1" ht="18.75" customHeight="1" x14ac:dyDescent="0.25">
      <c r="A19" s="95" t="s">
        <v>649</v>
      </c>
    </row>
  </sheetData>
  <sortState ref="A14:H15">
    <sortCondition descending="1" ref="A14:A15"/>
  </sortState>
  <mergeCells count="5">
    <mergeCell ref="H3:I3"/>
    <mergeCell ref="H15:I15"/>
    <mergeCell ref="H16:I16"/>
    <mergeCell ref="H10:I10"/>
    <mergeCell ref="E10:E11"/>
  </mergeCells>
  <phoneticPr fontId="19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3"/>
  <cols>
    <col min="1" max="1" width="27.28515625" style="97" customWidth="1"/>
    <col min="2" max="5" width="12.28515625" style="27" hidden="1" customWidth="1"/>
    <col min="6" max="8" width="12.28515625" style="27" customWidth="1"/>
    <col min="9" max="16384" width="9.140625" style="27"/>
  </cols>
  <sheetData>
    <row r="1" spans="1:8" s="46" customFormat="1" ht="18" customHeight="1" x14ac:dyDescent="0.3">
      <c r="A1" s="578" t="s">
        <v>544</v>
      </c>
      <c r="B1" s="190"/>
      <c r="C1" s="190"/>
      <c r="D1" s="190"/>
      <c r="E1" s="190"/>
      <c r="F1" s="190"/>
      <c r="G1" s="190"/>
      <c r="H1" s="190"/>
    </row>
    <row r="2" spans="1:8" ht="18" customHeight="1" x14ac:dyDescent="0.3">
      <c r="A2" s="126"/>
      <c r="B2" s="98"/>
      <c r="C2" s="98"/>
      <c r="D2" s="98"/>
      <c r="E2" s="98"/>
      <c r="F2" s="98"/>
      <c r="G2" s="98"/>
      <c r="H2" s="98"/>
    </row>
    <row r="3" spans="1:8" s="46" customFormat="1" ht="18" customHeight="1" x14ac:dyDescent="0.3">
      <c r="A3" s="37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23" customFormat="1" ht="18" customHeight="1" x14ac:dyDescent="0.3">
      <c r="A4" s="131"/>
      <c r="B4" s="101"/>
      <c r="C4" s="101"/>
      <c r="D4" s="101"/>
      <c r="E4" s="101"/>
      <c r="F4" s="722"/>
      <c r="G4" s="722"/>
      <c r="H4" s="722"/>
    </row>
    <row r="5" spans="1:8" s="46" customFormat="1" ht="18" customHeight="1" x14ac:dyDescent="0.3">
      <c r="A5" s="37"/>
      <c r="B5" s="41"/>
      <c r="C5" s="41"/>
      <c r="D5" s="41"/>
      <c r="E5" s="41"/>
      <c r="F5" s="723"/>
      <c r="G5" s="723"/>
      <c r="H5" s="723"/>
    </row>
    <row r="6" spans="1:8" ht="18" customHeight="1" x14ac:dyDescent="0.3">
      <c r="A6" s="39" t="s">
        <v>221</v>
      </c>
      <c r="B6" s="42">
        <v>4500</v>
      </c>
      <c r="C6" s="42">
        <v>3200</v>
      </c>
      <c r="D6" s="42">
        <v>3200</v>
      </c>
      <c r="E6" s="42">
        <f>100*12</f>
        <v>1200</v>
      </c>
      <c r="F6" s="686">
        <f>105*12</f>
        <v>1260</v>
      </c>
      <c r="G6" s="686">
        <f>105*12</f>
        <v>1260</v>
      </c>
      <c r="H6" s="686">
        <f>10*12*9</f>
        <v>1080</v>
      </c>
    </row>
    <row r="7" spans="1:8" ht="18" customHeight="1" x14ac:dyDescent="0.3">
      <c r="A7" s="916" t="s">
        <v>704</v>
      </c>
      <c r="B7" s="42"/>
      <c r="C7" s="42"/>
      <c r="D7" s="42"/>
      <c r="E7" s="42"/>
      <c r="F7" s="686"/>
      <c r="G7" s="685"/>
      <c r="H7" s="685">
        <f>13*50</f>
        <v>650</v>
      </c>
    </row>
    <row r="8" spans="1:8" ht="18" customHeight="1" x14ac:dyDescent="0.3">
      <c r="A8" s="447"/>
      <c r="B8" s="405"/>
      <c r="C8" s="405"/>
      <c r="D8" s="405"/>
      <c r="E8" s="405"/>
      <c r="F8" s="724"/>
      <c r="G8" s="725"/>
      <c r="H8" s="725"/>
    </row>
    <row r="9" spans="1:8" ht="18" customHeight="1" x14ac:dyDescent="0.3">
      <c r="A9" s="447"/>
      <c r="B9" s="405"/>
      <c r="C9" s="405"/>
      <c r="D9" s="405"/>
      <c r="E9" s="405"/>
      <c r="F9" s="724"/>
      <c r="G9" s="725"/>
      <c r="H9" s="725"/>
    </row>
    <row r="10" spans="1:8" ht="18" customHeight="1" thickBot="1" x14ac:dyDescent="0.35">
      <c r="A10" s="447"/>
      <c r="B10" s="405">
        <v>-556.55999999999995</v>
      </c>
      <c r="C10" s="405"/>
      <c r="D10" s="405"/>
      <c r="E10" s="405"/>
      <c r="F10" s="724"/>
      <c r="G10" s="725"/>
      <c r="H10" s="725"/>
    </row>
    <row r="11" spans="1:8" ht="18" customHeight="1" thickTop="1" x14ac:dyDescent="0.3">
      <c r="A11" s="88" t="s">
        <v>128</v>
      </c>
      <c r="B11" s="44">
        <f>SUM(B4:B10)</f>
        <v>3943.44</v>
      </c>
      <c r="C11" s="44">
        <f t="shared" ref="C11:E11" si="0">SUM(C4:C10)</f>
        <v>3200</v>
      </c>
      <c r="D11" s="44">
        <f t="shared" si="0"/>
        <v>3200</v>
      </c>
      <c r="E11" s="44">
        <f t="shared" si="0"/>
        <v>1200</v>
      </c>
      <c r="F11" s="689">
        <f t="shared" ref="F11:H11" si="1">SUM(F4:F10)</f>
        <v>1260</v>
      </c>
      <c r="G11" s="690">
        <f t="shared" ref="G11" si="2">SUM(G4:G10)</f>
        <v>1260</v>
      </c>
      <c r="H11" s="690">
        <f t="shared" si="1"/>
        <v>1730</v>
      </c>
    </row>
    <row r="12" spans="1:8" ht="18.75" customHeight="1" x14ac:dyDescent="0.3">
      <c r="B12" s="129"/>
    </row>
    <row r="13" spans="1:8" ht="18.75" customHeight="1" x14ac:dyDescent="0.3">
      <c r="A13" s="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3"/>
  <cols>
    <col min="1" max="1" width="42.85546875" style="97" bestFit="1" customWidth="1"/>
    <col min="2" max="5" width="12.28515625" style="27" hidden="1" customWidth="1"/>
    <col min="6" max="8" width="12.28515625" style="27" customWidth="1"/>
    <col min="9" max="16384" width="9.140625" style="27"/>
  </cols>
  <sheetData>
    <row r="1" spans="1:8" s="46" customFormat="1" ht="18.75" customHeight="1" x14ac:dyDescent="0.3">
      <c r="A1" s="578" t="s">
        <v>543</v>
      </c>
      <c r="B1" s="190"/>
      <c r="C1" s="190"/>
      <c r="D1" s="190"/>
      <c r="E1" s="190"/>
      <c r="F1" s="190"/>
      <c r="G1" s="190"/>
      <c r="H1" s="190"/>
    </row>
    <row r="2" spans="1:8" ht="11.25" customHeight="1" x14ac:dyDescent="0.3">
      <c r="A2" s="126"/>
      <c r="B2" s="98"/>
      <c r="C2" s="98"/>
      <c r="D2" s="98"/>
      <c r="E2" s="98"/>
      <c r="F2" s="98"/>
      <c r="G2" s="98"/>
      <c r="H2" s="98"/>
    </row>
    <row r="3" spans="1:8" s="46" customFormat="1" ht="18.75" customHeight="1" x14ac:dyDescent="0.3">
      <c r="A3" s="37" t="s">
        <v>130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</row>
    <row r="4" spans="1:8" s="123" customFormat="1" ht="18.75" customHeight="1" x14ac:dyDescent="0.3">
      <c r="A4" s="208"/>
      <c r="B4" s="117"/>
      <c r="C4" s="117"/>
      <c r="D4" s="117"/>
      <c r="E4" s="117"/>
      <c r="F4" s="726"/>
      <c r="G4" s="726"/>
      <c r="H4" s="726"/>
    </row>
    <row r="5" spans="1:8" s="123" customFormat="1" ht="16.5" x14ac:dyDescent="0.3">
      <c r="A5" s="39" t="s">
        <v>81</v>
      </c>
      <c r="B5" s="42">
        <v>1000</v>
      </c>
      <c r="C5" s="42">
        <v>1500</v>
      </c>
      <c r="D5" s="42">
        <v>1500</v>
      </c>
      <c r="E5" s="42">
        <v>2000</v>
      </c>
      <c r="F5" s="686">
        <v>2000</v>
      </c>
      <c r="G5" s="686">
        <v>3000</v>
      </c>
      <c r="H5" s="686">
        <v>3000</v>
      </c>
    </row>
    <row r="6" spans="1:8" s="123" customFormat="1" ht="19.5" customHeight="1" x14ac:dyDescent="0.3">
      <c r="A6" s="884" t="s">
        <v>654</v>
      </c>
      <c r="B6" s="42">
        <v>13400</v>
      </c>
      <c r="C6" s="42">
        <v>13672.8</v>
      </c>
      <c r="D6" s="42">
        <f>45*25.32*12</f>
        <v>13672.800000000001</v>
      </c>
      <c r="E6" s="42">
        <f>47*25.32*12</f>
        <v>14280.48</v>
      </c>
      <c r="F6" s="685">
        <f>55*25.32*12</f>
        <v>16711.199999999997</v>
      </c>
      <c r="G6" s="685">
        <f>75*23.37*12</f>
        <v>21033</v>
      </c>
      <c r="H6" s="685">
        <f>85*28.08*12</f>
        <v>28641.599999999999</v>
      </c>
    </row>
    <row r="7" spans="1:8" s="123" customFormat="1" ht="18.75" customHeight="1" x14ac:dyDescent="0.3">
      <c r="A7" s="39" t="s">
        <v>82</v>
      </c>
      <c r="B7" s="42">
        <v>10500</v>
      </c>
      <c r="C7" s="42">
        <v>13200</v>
      </c>
      <c r="D7" s="42">
        <f>24*600</f>
        <v>14400</v>
      </c>
      <c r="E7" s="42">
        <f>24*700</f>
        <v>16800</v>
      </c>
      <c r="F7" s="685">
        <f>24*700</f>
        <v>16800</v>
      </c>
      <c r="G7" s="685">
        <f>26.4*750</f>
        <v>19800</v>
      </c>
      <c r="H7" s="685">
        <f>26.4*775</f>
        <v>20460</v>
      </c>
    </row>
    <row r="8" spans="1:8" s="123" customFormat="1" ht="18.75" customHeight="1" x14ac:dyDescent="0.3">
      <c r="A8" s="39" t="s">
        <v>82</v>
      </c>
      <c r="B8" s="42">
        <v>10500</v>
      </c>
      <c r="C8" s="42">
        <v>13200</v>
      </c>
      <c r="D8" s="42">
        <f>24*600</f>
        <v>14400</v>
      </c>
      <c r="E8" s="42">
        <f>24*700</f>
        <v>16800</v>
      </c>
      <c r="F8" s="685">
        <f>24*700</f>
        <v>16800</v>
      </c>
      <c r="G8" s="685">
        <f>26.4*750</f>
        <v>19800</v>
      </c>
      <c r="H8" s="685">
        <f>26.4*775</f>
        <v>20460</v>
      </c>
    </row>
    <row r="9" spans="1:8" s="123" customFormat="1" ht="18.75" customHeight="1" x14ac:dyDescent="0.3">
      <c r="A9" s="39" t="s">
        <v>114</v>
      </c>
      <c r="B9" s="62">
        <v>4200</v>
      </c>
      <c r="C9" s="62">
        <v>4800</v>
      </c>
      <c r="D9" s="62">
        <f>50*11*12</f>
        <v>6600</v>
      </c>
      <c r="E9" s="197">
        <f>50*12*12</f>
        <v>7200</v>
      </c>
      <c r="F9" s="676">
        <f>55*12*12</f>
        <v>7920</v>
      </c>
      <c r="G9" s="676">
        <f>55*12*12</f>
        <v>7920</v>
      </c>
      <c r="H9" s="676">
        <f>40*13*12</f>
        <v>6240</v>
      </c>
    </row>
    <row r="10" spans="1:8" s="123" customFormat="1" ht="18.75" customHeight="1" x14ac:dyDescent="0.3">
      <c r="A10" s="39" t="s">
        <v>83</v>
      </c>
      <c r="B10" s="62">
        <v>1200</v>
      </c>
      <c r="C10" s="62">
        <v>2200</v>
      </c>
      <c r="D10" s="62">
        <f>11*400</f>
        <v>4400</v>
      </c>
      <c r="E10" s="197">
        <f>12*400</f>
        <v>4800</v>
      </c>
      <c r="F10" s="676">
        <f>400*12</f>
        <v>4800</v>
      </c>
      <c r="G10" s="676">
        <f>500*12</f>
        <v>6000</v>
      </c>
      <c r="H10" s="676">
        <f>500*13</f>
        <v>6500</v>
      </c>
    </row>
    <row r="11" spans="1:8" s="123" customFormat="1" ht="18.75" customHeight="1" x14ac:dyDescent="0.3">
      <c r="A11" s="47" t="s">
        <v>679</v>
      </c>
      <c r="B11" s="107">
        <v>3000</v>
      </c>
      <c r="C11" s="107">
        <v>0</v>
      </c>
      <c r="D11" s="107">
        <v>0</v>
      </c>
      <c r="E11" s="848">
        <v>7000</v>
      </c>
      <c r="F11" s="849">
        <f>7200*7</f>
        <v>50400</v>
      </c>
      <c r="G11" s="849">
        <f>8500*9</f>
        <v>76500</v>
      </c>
      <c r="H11" s="849">
        <f>8500*5</f>
        <v>42500</v>
      </c>
    </row>
    <row r="12" spans="1:8" s="46" customFormat="1" ht="18.75" hidden="1" customHeight="1" x14ac:dyDescent="0.3">
      <c r="A12" s="47" t="s">
        <v>467</v>
      </c>
      <c r="B12" s="62">
        <v>10000</v>
      </c>
      <c r="C12" s="62">
        <v>2000</v>
      </c>
      <c r="D12" s="62">
        <v>4000</v>
      </c>
      <c r="E12" s="197">
        <v>5000</v>
      </c>
      <c r="F12" s="676"/>
      <c r="G12" s="676"/>
      <c r="H12" s="676"/>
    </row>
    <row r="13" spans="1:8" s="46" customFormat="1" ht="18.75" customHeight="1" x14ac:dyDescent="0.3">
      <c r="A13" s="47" t="s">
        <v>426</v>
      </c>
      <c r="B13" s="62"/>
      <c r="C13" s="62">
        <v>1000</v>
      </c>
      <c r="D13" s="62">
        <v>1000</v>
      </c>
      <c r="E13" s="62">
        <f>600*2</f>
        <v>1200</v>
      </c>
      <c r="F13" s="676">
        <f>600*2</f>
        <v>1200</v>
      </c>
      <c r="G13" s="676">
        <f>800*2</f>
        <v>1600</v>
      </c>
      <c r="H13" s="676">
        <f>800*2</f>
        <v>1600</v>
      </c>
    </row>
    <row r="14" spans="1:8" s="46" customFormat="1" ht="18.75" customHeight="1" x14ac:dyDescent="0.3">
      <c r="A14" s="47" t="s">
        <v>703</v>
      </c>
      <c r="B14" s="62"/>
      <c r="C14" s="62">
        <v>20000</v>
      </c>
      <c r="D14" s="62">
        <v>26000</v>
      </c>
      <c r="E14" s="62">
        <f>6000</f>
        <v>6000</v>
      </c>
      <c r="F14" s="675">
        <v>12000</v>
      </c>
      <c r="G14" s="675">
        <v>12000</v>
      </c>
      <c r="H14" s="675">
        <f>3500*2</f>
        <v>7000</v>
      </c>
    </row>
    <row r="15" spans="1:8" s="46" customFormat="1" ht="18.75" customHeight="1" x14ac:dyDescent="0.3">
      <c r="A15" s="47" t="s">
        <v>600</v>
      </c>
      <c r="B15" s="62"/>
      <c r="C15" s="62"/>
      <c r="D15" s="62"/>
      <c r="E15" s="62"/>
      <c r="F15" s="675">
        <f>23*400</f>
        <v>9200</v>
      </c>
      <c r="G15" s="676"/>
      <c r="H15" s="676"/>
    </row>
    <row r="16" spans="1:8" s="46" customFormat="1" ht="18.75" customHeight="1" x14ac:dyDescent="0.3">
      <c r="A16" s="47" t="s">
        <v>713</v>
      </c>
      <c r="B16" s="62"/>
      <c r="C16" s="62"/>
      <c r="D16" s="62"/>
      <c r="E16" s="62"/>
      <c r="F16" s="675"/>
      <c r="G16" s="676">
        <f>6900*2</f>
        <v>13800</v>
      </c>
      <c r="H16" s="676">
        <f>8400*8</f>
        <v>67200</v>
      </c>
    </row>
    <row r="17" spans="1:8" s="46" customFormat="1" ht="18.75" customHeight="1" thickBot="1" x14ac:dyDescent="0.35">
      <c r="A17" s="47"/>
      <c r="B17" s="62"/>
      <c r="C17" s="62"/>
      <c r="D17" s="62"/>
      <c r="E17" s="62"/>
      <c r="F17" s="675"/>
      <c r="G17" s="676"/>
      <c r="H17" s="676"/>
    </row>
    <row r="18" spans="1:8" s="46" customFormat="1" ht="18.75" customHeight="1" thickTop="1" x14ac:dyDescent="0.3">
      <c r="A18" s="88" t="s">
        <v>128</v>
      </c>
      <c r="B18" s="89">
        <f t="shared" ref="B18:H18" si="0">SUM(B4:B17)</f>
        <v>53800</v>
      </c>
      <c r="C18" s="89">
        <f t="shared" si="0"/>
        <v>71572.800000000003</v>
      </c>
      <c r="D18" s="89">
        <f t="shared" si="0"/>
        <v>85972.800000000003</v>
      </c>
      <c r="E18" s="89">
        <f t="shared" si="0"/>
        <v>81080.479999999996</v>
      </c>
      <c r="F18" s="770">
        <f t="shared" si="0"/>
        <v>137831.20000000001</v>
      </c>
      <c r="G18" s="885">
        <f t="shared" ref="G18" si="1">SUM(G4:G17)</f>
        <v>181453</v>
      </c>
      <c r="H18" s="885">
        <f t="shared" si="0"/>
        <v>203601.6</v>
      </c>
    </row>
    <row r="19" spans="1:8" s="46" customFormat="1" ht="16.5" x14ac:dyDescent="0.3">
      <c r="A19" s="17"/>
    </row>
    <row r="20" spans="1:8" ht="12.95" customHeight="1" x14ac:dyDescent="0.3">
      <c r="A20" s="17"/>
    </row>
    <row r="21" spans="1:8" ht="12.95" customHeight="1" x14ac:dyDescent="0.3">
      <c r="A21" s="17" t="s">
        <v>687</v>
      </c>
    </row>
    <row r="22" spans="1:8" ht="12.95" customHeight="1" x14ac:dyDescent="0.3">
      <c r="A22" s="17"/>
    </row>
    <row r="23" spans="1:8" ht="12.95" customHeight="1" x14ac:dyDescent="0.3">
      <c r="A23" s="17"/>
    </row>
    <row r="24" spans="1:8" s="46" customFormat="1" ht="12.95" customHeight="1" x14ac:dyDescent="0.3">
      <c r="A24" s="17"/>
    </row>
    <row r="25" spans="1:8" ht="12.95" customHeight="1" x14ac:dyDescent="0.3">
      <c r="A25" s="17"/>
    </row>
    <row r="26" spans="1:8" ht="12.95" customHeight="1" x14ac:dyDescent="0.3">
      <c r="A26" s="17"/>
    </row>
    <row r="27" spans="1:8" ht="12.95" customHeight="1" x14ac:dyDescent="0.3">
      <c r="A27" s="17"/>
    </row>
    <row r="28" spans="1:8" ht="12.95" customHeight="1" x14ac:dyDescent="0.3">
      <c r="A28" s="27"/>
    </row>
    <row r="29" spans="1:8" ht="12.95" customHeight="1" x14ac:dyDescent="0.3">
      <c r="A29" s="27"/>
      <c r="B29" s="40"/>
    </row>
    <row r="30" spans="1:8" ht="12.95" customHeight="1" x14ac:dyDescent="0.3">
      <c r="A30" s="27"/>
      <c r="B30" s="40"/>
    </row>
    <row r="31" spans="1:8" ht="12.95" customHeight="1" x14ac:dyDescent="0.3">
      <c r="A31" s="27"/>
      <c r="B31" s="40"/>
    </row>
    <row r="32" spans="1:8" ht="18.75" customHeight="1" x14ac:dyDescent="0.3">
      <c r="A32" s="17"/>
    </row>
    <row r="33" spans="1:1" ht="18.75" customHeight="1" x14ac:dyDescent="0.3">
      <c r="A33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"/>
  <sheetViews>
    <sheetView workbookViewId="0"/>
  </sheetViews>
  <sheetFormatPr defaultRowHeight="16.5" x14ac:dyDescent="0.3"/>
  <cols>
    <col min="1" max="1" width="28.85546875" style="111" customWidth="1"/>
    <col min="2" max="4" width="11.7109375" style="111" hidden="1" customWidth="1"/>
    <col min="5" max="5" width="12" style="111" hidden="1" customWidth="1"/>
    <col min="6" max="8" width="12" style="111" customWidth="1"/>
    <col min="9" max="16384" width="9.140625" style="111"/>
  </cols>
  <sheetData>
    <row r="1" spans="1:8" ht="22.5" customHeight="1" x14ac:dyDescent="0.3">
      <c r="A1" s="578" t="s">
        <v>542</v>
      </c>
      <c r="B1" s="190"/>
      <c r="C1" s="190"/>
      <c r="D1" s="190"/>
      <c r="E1" s="206"/>
      <c r="F1" s="206"/>
      <c r="G1" s="206"/>
      <c r="H1" s="206"/>
    </row>
    <row r="2" spans="1:8" x14ac:dyDescent="0.3">
      <c r="A2" s="126"/>
      <c r="B2" s="98"/>
      <c r="C2" s="98"/>
      <c r="D2" s="98"/>
      <c r="E2" s="49"/>
      <c r="F2" s="49"/>
      <c r="G2" s="49"/>
      <c r="H2" s="49"/>
    </row>
    <row r="3" spans="1:8" x14ac:dyDescent="0.3">
      <c r="A3" s="37" t="s">
        <v>130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</row>
    <row r="4" spans="1:8" x14ac:dyDescent="0.3">
      <c r="A4" s="131"/>
      <c r="B4" s="101"/>
      <c r="C4" s="99"/>
      <c r="D4" s="99"/>
      <c r="E4" s="99"/>
      <c r="F4" s="729"/>
      <c r="G4" s="729"/>
      <c r="H4" s="729"/>
    </row>
    <row r="5" spans="1:8" x14ac:dyDescent="0.3">
      <c r="A5" s="125"/>
      <c r="B5" s="98"/>
      <c r="C5" s="119"/>
      <c r="D5" s="119"/>
      <c r="E5" s="119"/>
      <c r="F5" s="730"/>
      <c r="G5" s="730"/>
      <c r="H5" s="730"/>
    </row>
    <row r="6" spans="1:8" x14ac:dyDescent="0.3">
      <c r="A6" s="39" t="s">
        <v>159</v>
      </c>
      <c r="B6" s="42">
        <v>40000</v>
      </c>
      <c r="C6" s="49">
        <v>40000</v>
      </c>
      <c r="D6" s="553">
        <v>40000</v>
      </c>
      <c r="E6" s="553">
        <v>30000</v>
      </c>
      <c r="F6" s="731">
        <v>30000</v>
      </c>
      <c r="G6" s="731">
        <v>30000</v>
      </c>
      <c r="H6" s="731">
        <v>30000</v>
      </c>
    </row>
    <row r="7" spans="1:8" x14ac:dyDescent="0.3">
      <c r="A7" s="39"/>
      <c r="B7" s="42"/>
      <c r="C7" s="119"/>
      <c r="D7" s="119"/>
      <c r="E7" s="119"/>
      <c r="F7" s="730"/>
      <c r="G7" s="732"/>
      <c r="H7" s="732"/>
    </row>
    <row r="8" spans="1:8" ht="17.25" thickBot="1" x14ac:dyDescent="0.35">
      <c r="A8" s="515"/>
      <c r="B8" s="283">
        <v>-8500</v>
      </c>
      <c r="C8" s="241"/>
      <c r="D8" s="241"/>
      <c r="E8" s="241"/>
      <c r="F8" s="733"/>
      <c r="G8" s="734"/>
      <c r="H8" s="734"/>
    </row>
    <row r="9" spans="1:8" ht="17.25" thickTop="1" x14ac:dyDescent="0.3">
      <c r="A9" s="88" t="s">
        <v>128</v>
      </c>
      <c r="B9" s="44">
        <f t="shared" ref="B9:H9" si="0">SUM(B4:B8)</f>
        <v>31500</v>
      </c>
      <c r="C9" s="133">
        <f t="shared" si="0"/>
        <v>40000</v>
      </c>
      <c r="D9" s="133">
        <f t="shared" si="0"/>
        <v>40000</v>
      </c>
      <c r="E9" s="133">
        <f t="shared" si="0"/>
        <v>30000</v>
      </c>
      <c r="F9" s="735">
        <f t="shared" si="0"/>
        <v>30000</v>
      </c>
      <c r="G9" s="736">
        <f t="shared" ref="G9" si="1">SUM(G4:G8)</f>
        <v>30000</v>
      </c>
      <c r="H9" s="736">
        <f t="shared" si="0"/>
        <v>30000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</vt:i4>
      </vt:variant>
    </vt:vector>
  </HeadingPairs>
  <TitlesOfParts>
    <vt:vector size="52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2017-10-03T21:01:58Z</cp:lastPrinted>
  <dcterms:created xsi:type="dcterms:W3CDTF">2002-06-05T21:07:58Z</dcterms:created>
  <dcterms:modified xsi:type="dcterms:W3CDTF">2017-12-15T17:37:56Z</dcterms:modified>
</cp:coreProperties>
</file>